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03 INF PROGRAM PARA SUBIR\"/>
    </mc:Choice>
  </mc:AlternateContent>
  <xr:revisionPtr revIDLastSave="0" documentId="8_{A89C0BC0-46A0-41CB-B0AF-BD1B04353B32}" xr6:coauthVersionLast="47" xr6:coauthVersionMax="47" xr10:uidLastSave="{00000000-0000-0000-0000-000000000000}"/>
  <bookViews>
    <workbookView xWindow="-108" yWindow="-108" windowWidth="23256" windowHeight="12576" xr2:uid="{ED06AB0C-1076-4CB3-AC40-D3000E7AC3E8}"/>
  </bookViews>
  <sheets>
    <sheet name="PIGOO" sheetId="1" r:id="rId1"/>
  </sheets>
  <externalReferences>
    <externalReference r:id="rId2"/>
    <externalReference r:id="rId3"/>
  </externalReferences>
  <definedNames>
    <definedName name="Admin.">'[1]Gastos de Admin.'!$H$234</definedName>
    <definedName name="_xlnm.Extract">#REF!</definedName>
    <definedName name="_xlnm.Print_Area" localSheetId="0">PIGOO!$A$1:$R$209</definedName>
    <definedName name="Comerc.">#REF!</definedName>
    <definedName name="Egresos">#REF!</definedName>
    <definedName name="Grales.">#REF!</definedName>
    <definedName name="ing">#REF!</definedName>
    <definedName name="Ingresos">#REF!</definedName>
    <definedName name="inv">#REF!</definedName>
    <definedName name="Inversiones">#REF!</definedName>
    <definedName name="Op.Mant.">#REF!</definedName>
    <definedName name="_xlnm.Print_Titles" localSheetId="0">PIGOO!$9:$10</definedName>
    <definedName name="Tot.Gastos">#REF!</definedName>
    <definedName name="xxx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 s="1"/>
  <c r="G12" i="1"/>
  <c r="G11" i="1" s="1"/>
  <c r="L12" i="1"/>
  <c r="L11" i="1" s="1"/>
  <c r="O12" i="1"/>
  <c r="O11" i="1" s="1"/>
  <c r="B13" i="1"/>
  <c r="B12" i="1" s="1"/>
  <c r="B11" i="1" s="1"/>
  <c r="C13" i="1"/>
  <c r="C12" i="1" s="1"/>
  <c r="C11" i="1" s="1"/>
  <c r="D13" i="1"/>
  <c r="E13" i="1"/>
  <c r="E12" i="1" s="1"/>
  <c r="E11" i="1" s="1"/>
  <c r="E37" i="1" s="1"/>
  <c r="E43" i="1" s="1"/>
  <c r="F13" i="1"/>
  <c r="F12" i="1" s="1"/>
  <c r="F11" i="1" s="1"/>
  <c r="G13" i="1"/>
  <c r="H13" i="1"/>
  <c r="H12" i="1" s="1"/>
  <c r="H11" i="1" s="1"/>
  <c r="I13" i="1"/>
  <c r="I12" i="1" s="1"/>
  <c r="I11" i="1" s="1"/>
  <c r="I37" i="1" s="1"/>
  <c r="I43" i="1" s="1"/>
  <c r="J13" i="1"/>
  <c r="J12" i="1" s="1"/>
  <c r="J11" i="1" s="1"/>
  <c r="K13" i="1"/>
  <c r="K12" i="1" s="1"/>
  <c r="K11" i="1" s="1"/>
  <c r="L13" i="1"/>
  <c r="M13" i="1"/>
  <c r="M12" i="1" s="1"/>
  <c r="M11" i="1" s="1"/>
  <c r="M37" i="1" s="1"/>
  <c r="M43" i="1" s="1"/>
  <c r="N13" i="1"/>
  <c r="O13" i="1"/>
  <c r="N14" i="1"/>
  <c r="N15" i="1"/>
  <c r="N16" i="1"/>
  <c r="N17" i="1"/>
  <c r="N18" i="1"/>
  <c r="N19" i="1"/>
  <c r="N20" i="1"/>
  <c r="N21" i="1"/>
  <c r="N22" i="1"/>
  <c r="R23" i="1"/>
  <c r="P15" i="1" s="1"/>
  <c r="N26" i="1"/>
  <c r="P26" i="1"/>
  <c r="N27" i="1"/>
  <c r="P27" i="1"/>
  <c r="Q27" i="1"/>
  <c r="R27" i="1" s="1"/>
  <c r="C28" i="1"/>
  <c r="D28" i="1"/>
  <c r="H28" i="1"/>
  <c r="I28" i="1"/>
  <c r="K28" i="1"/>
  <c r="K25" i="1" s="1"/>
  <c r="K24" i="1" s="1"/>
  <c r="L28" i="1"/>
  <c r="N29" i="1"/>
  <c r="N30" i="1"/>
  <c r="Q30" i="1" s="1"/>
  <c r="R30" i="1" s="1"/>
  <c r="P30" i="1"/>
  <c r="B31" i="1"/>
  <c r="N31" i="1" s="1"/>
  <c r="C31" i="1"/>
  <c r="D31" i="1"/>
  <c r="E31" i="1"/>
  <c r="E28" i="1" s="1"/>
  <c r="E25" i="1" s="1"/>
  <c r="E24" i="1" s="1"/>
  <c r="F31" i="1"/>
  <c r="F28" i="1" s="1"/>
  <c r="F25" i="1" s="1"/>
  <c r="F24" i="1" s="1"/>
  <c r="G31" i="1"/>
  <c r="G28" i="1" s="1"/>
  <c r="G25" i="1" s="1"/>
  <c r="G24" i="1" s="1"/>
  <c r="H31" i="1"/>
  <c r="I31" i="1"/>
  <c r="J31" i="1"/>
  <c r="J28" i="1" s="1"/>
  <c r="K31" i="1"/>
  <c r="L31" i="1"/>
  <c r="M31" i="1"/>
  <c r="M28" i="1" s="1"/>
  <c r="M25" i="1" s="1"/>
  <c r="M24" i="1" s="1"/>
  <c r="O31" i="1"/>
  <c r="O28" i="1" s="1"/>
  <c r="O25" i="1" s="1"/>
  <c r="O24" i="1" s="1"/>
  <c r="F32" i="1"/>
  <c r="I32" i="1"/>
  <c r="I25" i="1" s="1"/>
  <c r="I24" i="1" s="1"/>
  <c r="M32" i="1"/>
  <c r="O32" i="1"/>
  <c r="N33" i="1"/>
  <c r="P33" i="1"/>
  <c r="P32" i="1" s="1"/>
  <c r="Q33" i="1"/>
  <c r="R33" i="1"/>
  <c r="B34" i="1"/>
  <c r="B32" i="1" s="1"/>
  <c r="C34" i="1"/>
  <c r="C32" i="1" s="1"/>
  <c r="D34" i="1"/>
  <c r="N34" i="1" s="1"/>
  <c r="E34" i="1"/>
  <c r="E32" i="1" s="1"/>
  <c r="F34" i="1"/>
  <c r="G34" i="1"/>
  <c r="G32" i="1" s="1"/>
  <c r="H34" i="1"/>
  <c r="H32" i="1" s="1"/>
  <c r="I34" i="1"/>
  <c r="J34" i="1"/>
  <c r="J32" i="1" s="1"/>
  <c r="K34" i="1"/>
  <c r="K32" i="1" s="1"/>
  <c r="L34" i="1"/>
  <c r="L32" i="1" s="1"/>
  <c r="L25" i="1" s="1"/>
  <c r="L24" i="1" s="1"/>
  <c r="M34" i="1"/>
  <c r="P34" i="1"/>
  <c r="N35" i="1"/>
  <c r="P35" i="1"/>
  <c r="N38" i="1"/>
  <c r="Q38" i="1" s="1"/>
  <c r="P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Q39" i="1" s="1"/>
  <c r="R39" i="1" s="1"/>
  <c r="O39" i="1"/>
  <c r="P39" i="1"/>
  <c r="N40" i="1"/>
  <c r="N41" i="1"/>
  <c r="N42" i="1"/>
  <c r="N44" i="1"/>
  <c r="Q44" i="1" s="1"/>
  <c r="P44" i="1"/>
  <c r="B46" i="1"/>
  <c r="C46" i="1"/>
  <c r="D46" i="1"/>
  <c r="E46" i="1"/>
  <c r="F46" i="1"/>
  <c r="G46" i="1"/>
  <c r="H46" i="1"/>
  <c r="I46" i="1"/>
  <c r="J46" i="1"/>
  <c r="K46" i="1"/>
  <c r="L46" i="1"/>
  <c r="M46" i="1"/>
  <c r="H48" i="1"/>
  <c r="C56" i="1"/>
  <c r="G56" i="1"/>
  <c r="H56" i="1"/>
  <c r="I56" i="1"/>
  <c r="K56" i="1"/>
  <c r="B57" i="1"/>
  <c r="B56" i="1" s="1"/>
  <c r="C57" i="1"/>
  <c r="N57" i="1" s="1"/>
  <c r="N56" i="1" s="1"/>
  <c r="D57" i="1"/>
  <c r="D56" i="1" s="1"/>
  <c r="E57" i="1"/>
  <c r="E56" i="1" s="1"/>
  <c r="F57" i="1"/>
  <c r="F56" i="1" s="1"/>
  <c r="G57" i="1"/>
  <c r="H57" i="1"/>
  <c r="I57" i="1"/>
  <c r="J57" i="1"/>
  <c r="J56" i="1" s="1"/>
  <c r="L57" i="1"/>
  <c r="L56" i="1" s="1"/>
  <c r="M57" i="1"/>
  <c r="M56" i="1" s="1"/>
  <c r="B61" i="1"/>
  <c r="G61" i="1"/>
  <c r="I61" i="1"/>
  <c r="J61" i="1"/>
  <c r="M61" i="1"/>
  <c r="B62" i="1"/>
  <c r="C62" i="1"/>
  <c r="C61" i="1" s="1"/>
  <c r="D62" i="1"/>
  <c r="D61" i="1" s="1"/>
  <c r="E62" i="1"/>
  <c r="E61" i="1" s="1"/>
  <c r="F62" i="1"/>
  <c r="F61" i="1" s="1"/>
  <c r="G62" i="1"/>
  <c r="H62" i="1"/>
  <c r="H61" i="1" s="1"/>
  <c r="I62" i="1"/>
  <c r="J62" i="1"/>
  <c r="K62" i="1"/>
  <c r="K61" i="1" s="1"/>
  <c r="L62" i="1"/>
  <c r="L61" i="1" s="1"/>
  <c r="B70" i="1"/>
  <c r="N70" i="1" s="1"/>
  <c r="C70" i="1"/>
  <c r="C91" i="1" s="1"/>
  <c r="D70" i="1"/>
  <c r="E70" i="1"/>
  <c r="F70" i="1"/>
  <c r="G70" i="1"/>
  <c r="H70" i="1"/>
  <c r="I70" i="1"/>
  <c r="J70" i="1"/>
  <c r="K70" i="1"/>
  <c r="K91" i="1" s="1"/>
  <c r="K94" i="1" s="1"/>
  <c r="L70" i="1"/>
  <c r="M70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N77" i="1"/>
  <c r="N78" i="1"/>
  <c r="N79" i="1"/>
  <c r="N80" i="1"/>
  <c r="N81" i="1"/>
  <c r="B84" i="1"/>
  <c r="C84" i="1"/>
  <c r="N84" i="1" s="1"/>
  <c r="D84" i="1"/>
  <c r="E84" i="1"/>
  <c r="F84" i="1"/>
  <c r="G84" i="1"/>
  <c r="H84" i="1"/>
  <c r="I84" i="1"/>
  <c r="J84" i="1"/>
  <c r="K84" i="1"/>
  <c r="L84" i="1"/>
  <c r="M84" i="1"/>
  <c r="N85" i="1"/>
  <c r="N86" i="1"/>
  <c r="B90" i="1"/>
  <c r="N90" i="1" s="1"/>
  <c r="C90" i="1"/>
  <c r="D90" i="1"/>
  <c r="E90" i="1"/>
  <c r="F90" i="1"/>
  <c r="G90" i="1"/>
  <c r="H90" i="1"/>
  <c r="I90" i="1"/>
  <c r="J90" i="1"/>
  <c r="K90" i="1"/>
  <c r="L90" i="1"/>
  <c r="M90" i="1"/>
  <c r="B91" i="1"/>
  <c r="D91" i="1"/>
  <c r="D94" i="1" s="1"/>
  <c r="E91" i="1"/>
  <c r="E94" i="1" s="1"/>
  <c r="F91" i="1"/>
  <c r="F94" i="1" s="1"/>
  <c r="G91" i="1"/>
  <c r="H91" i="1"/>
  <c r="H94" i="1" s="1"/>
  <c r="I91" i="1"/>
  <c r="J91" i="1"/>
  <c r="L91" i="1"/>
  <c r="L94" i="1" s="1"/>
  <c r="M91" i="1"/>
  <c r="M94" i="1" s="1"/>
  <c r="B94" i="1"/>
  <c r="G94" i="1"/>
  <c r="I94" i="1"/>
  <c r="J94" i="1"/>
  <c r="B97" i="1"/>
  <c r="C97" i="1"/>
  <c r="D97" i="1"/>
  <c r="N97" i="1" s="1"/>
  <c r="E97" i="1"/>
  <c r="F97" i="1"/>
  <c r="G97" i="1"/>
  <c r="H97" i="1"/>
  <c r="I97" i="1"/>
  <c r="J97" i="1"/>
  <c r="K97" i="1"/>
  <c r="L97" i="1"/>
  <c r="M97" i="1"/>
  <c r="B104" i="1"/>
  <c r="C104" i="1"/>
  <c r="D104" i="1"/>
  <c r="E104" i="1"/>
  <c r="G104" i="1"/>
  <c r="H104" i="1"/>
  <c r="I104" i="1"/>
  <c r="J104" i="1"/>
  <c r="K104" i="1"/>
  <c r="L104" i="1"/>
  <c r="M104" i="1"/>
  <c r="F105" i="1"/>
  <c r="F104" i="1" s="1"/>
  <c r="F106" i="1"/>
  <c r="N106" i="1"/>
  <c r="F107" i="1"/>
  <c r="N107" i="1"/>
  <c r="N108" i="1"/>
  <c r="F109" i="1"/>
  <c r="N109" i="1"/>
  <c r="N113" i="1"/>
  <c r="B117" i="1"/>
  <c r="C117" i="1"/>
  <c r="D117" i="1"/>
  <c r="D116" i="1" s="1"/>
  <c r="D208" i="1" s="1"/>
  <c r="E117" i="1"/>
  <c r="E116" i="1" s="1"/>
  <c r="F117" i="1"/>
  <c r="F116" i="1" s="1"/>
  <c r="G117" i="1"/>
  <c r="G116" i="1" s="1"/>
  <c r="H117" i="1"/>
  <c r="I117" i="1"/>
  <c r="I116" i="1" s="1"/>
  <c r="J117" i="1"/>
  <c r="K117" i="1"/>
  <c r="L117" i="1"/>
  <c r="L116" i="1" s="1"/>
  <c r="M117" i="1"/>
  <c r="M116" i="1" s="1"/>
  <c r="B123" i="1"/>
  <c r="B116" i="1" s="1"/>
  <c r="C123" i="1"/>
  <c r="C116" i="1" s="1"/>
  <c r="D123" i="1"/>
  <c r="E123" i="1"/>
  <c r="F123" i="1"/>
  <c r="G123" i="1"/>
  <c r="H123" i="1"/>
  <c r="H116" i="1" s="1"/>
  <c r="I123" i="1"/>
  <c r="J123" i="1"/>
  <c r="J116" i="1" s="1"/>
  <c r="K123" i="1"/>
  <c r="K116" i="1" s="1"/>
  <c r="L123" i="1"/>
  <c r="M123" i="1"/>
  <c r="B131" i="1"/>
  <c r="C131" i="1"/>
  <c r="D131" i="1"/>
  <c r="D132" i="1" s="1"/>
  <c r="D160" i="1" s="1"/>
  <c r="E131" i="1"/>
  <c r="E132" i="1" s="1"/>
  <c r="F131" i="1"/>
  <c r="F132" i="1" s="1"/>
  <c r="F160" i="1" s="1"/>
  <c r="C135" i="1"/>
  <c r="E135" i="1"/>
  <c r="F135" i="1"/>
  <c r="K135" i="1"/>
  <c r="M135" i="1"/>
  <c r="B136" i="1"/>
  <c r="B135" i="1" s="1"/>
  <c r="C136" i="1"/>
  <c r="D136" i="1"/>
  <c r="D135" i="1" s="1"/>
  <c r="E136" i="1"/>
  <c r="F136" i="1"/>
  <c r="G136" i="1"/>
  <c r="G135" i="1" s="1"/>
  <c r="H136" i="1"/>
  <c r="H135" i="1" s="1"/>
  <c r="I136" i="1"/>
  <c r="I135" i="1" s="1"/>
  <c r="J136" i="1"/>
  <c r="J135" i="1" s="1"/>
  <c r="K136" i="1"/>
  <c r="L136" i="1"/>
  <c r="L135" i="1" s="1"/>
  <c r="M136" i="1"/>
  <c r="N136" i="1"/>
  <c r="O136" i="1"/>
  <c r="Q136" i="1"/>
  <c r="R136" i="1"/>
  <c r="N137" i="1"/>
  <c r="O137" i="1"/>
  <c r="P137" i="1"/>
  <c r="P136" i="1" s="1"/>
  <c r="Q137" i="1"/>
  <c r="R137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59" i="1"/>
  <c r="C159" i="1"/>
  <c r="D159" i="1"/>
  <c r="E159" i="1"/>
  <c r="E160" i="1" s="1"/>
  <c r="F159" i="1"/>
  <c r="G159" i="1"/>
  <c r="H159" i="1"/>
  <c r="I159" i="1"/>
  <c r="J159" i="1"/>
  <c r="K159" i="1"/>
  <c r="L159" i="1"/>
  <c r="M159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E190" i="1"/>
  <c r="G190" i="1"/>
  <c r="H190" i="1"/>
  <c r="M190" i="1"/>
  <c r="B191" i="1"/>
  <c r="B190" i="1" s="1"/>
  <c r="C191" i="1"/>
  <c r="C190" i="1" s="1"/>
  <c r="D191" i="1"/>
  <c r="D190" i="1" s="1"/>
  <c r="E191" i="1"/>
  <c r="F191" i="1"/>
  <c r="F190" i="1" s="1"/>
  <c r="G191" i="1"/>
  <c r="H191" i="1"/>
  <c r="I191" i="1"/>
  <c r="I190" i="1" s="1"/>
  <c r="J191" i="1"/>
  <c r="J190" i="1" s="1"/>
  <c r="K191" i="1"/>
  <c r="K190" i="1" s="1"/>
  <c r="L191" i="1"/>
  <c r="L190" i="1" s="1"/>
  <c r="M191" i="1"/>
  <c r="I132" i="1" l="1"/>
  <c r="I160" i="1" s="1"/>
  <c r="I208" i="1"/>
  <c r="K37" i="1"/>
  <c r="K43" i="1" s="1"/>
  <c r="K208" i="1"/>
  <c r="K132" i="1"/>
  <c r="K160" i="1" s="1"/>
  <c r="C173" i="1"/>
  <c r="C208" i="1"/>
  <c r="G132" i="1"/>
  <c r="G160" i="1" s="1"/>
  <c r="G208" i="1"/>
  <c r="B173" i="1"/>
  <c r="B208" i="1"/>
  <c r="B132" i="1"/>
  <c r="B160" i="1" s="1"/>
  <c r="F173" i="1"/>
  <c r="F208" i="1"/>
  <c r="N104" i="1"/>
  <c r="H25" i="1"/>
  <c r="H24" i="1" s="1"/>
  <c r="Q15" i="1"/>
  <c r="R15" i="1" s="1"/>
  <c r="O37" i="1"/>
  <c r="J208" i="1"/>
  <c r="J132" i="1"/>
  <c r="J160" i="1" s="1"/>
  <c r="M208" i="1"/>
  <c r="M132" i="1"/>
  <c r="M160" i="1" s="1"/>
  <c r="E173" i="1"/>
  <c r="E208" i="1"/>
  <c r="C94" i="1"/>
  <c r="N91" i="1"/>
  <c r="J25" i="1"/>
  <c r="J24" i="1" s="1"/>
  <c r="Q31" i="1"/>
  <c r="R31" i="1" s="1"/>
  <c r="H37" i="1"/>
  <c r="H43" i="1" s="1"/>
  <c r="L37" i="1"/>
  <c r="L43" i="1" s="1"/>
  <c r="H208" i="1"/>
  <c r="H132" i="1"/>
  <c r="H160" i="1" s="1"/>
  <c r="L132" i="1"/>
  <c r="L160" i="1" s="1"/>
  <c r="L208" i="1"/>
  <c r="N32" i="1"/>
  <c r="Q32" i="1" s="1"/>
  <c r="R32" i="1" s="1"/>
  <c r="Q34" i="1"/>
  <c r="R34" i="1" s="1"/>
  <c r="C25" i="1"/>
  <c r="C24" i="1" s="1"/>
  <c r="G37" i="1"/>
  <c r="G43" i="1" s="1"/>
  <c r="C132" i="1"/>
  <c r="C160" i="1" s="1"/>
  <c r="Q13" i="1"/>
  <c r="R13" i="1" s="1"/>
  <c r="F37" i="1"/>
  <c r="F43" i="1" s="1"/>
  <c r="P29" i="1"/>
  <c r="P28" i="1" s="1"/>
  <c r="P25" i="1" s="1"/>
  <c r="P24" i="1" s="1"/>
  <c r="Q26" i="1"/>
  <c r="R26" i="1" s="1"/>
  <c r="P19" i="1"/>
  <c r="Q19" i="1" s="1"/>
  <c r="B28" i="1"/>
  <c r="B25" i="1" s="1"/>
  <c r="B24" i="1" s="1"/>
  <c r="P21" i="1"/>
  <c r="Q21" i="1" s="1"/>
  <c r="N12" i="1"/>
  <c r="N105" i="1"/>
  <c r="P31" i="1"/>
  <c r="P18" i="1"/>
  <c r="Q18" i="1" s="1"/>
  <c r="P16" i="1"/>
  <c r="Q16" i="1" s="1"/>
  <c r="R16" i="1" s="1"/>
  <c r="P14" i="1"/>
  <c r="P13" i="1" s="1"/>
  <c r="P20" i="1"/>
  <c r="Q20" i="1" s="1"/>
  <c r="D32" i="1"/>
  <c r="D25" i="1" s="1"/>
  <c r="D24" i="1" s="1"/>
  <c r="N28" i="1"/>
  <c r="Q28" i="1" s="1"/>
  <c r="R28" i="1" s="1"/>
  <c r="P22" i="1"/>
  <c r="Q22" i="1" s="1"/>
  <c r="P17" i="1"/>
  <c r="Q17" i="1" s="1"/>
  <c r="R17" i="1" s="1"/>
  <c r="N25" i="1" l="1"/>
  <c r="C37" i="1"/>
  <c r="C43" i="1" s="1"/>
  <c r="P12" i="1"/>
  <c r="P11" i="1" s="1"/>
  <c r="P37" i="1" s="1"/>
  <c r="P43" i="1" s="1"/>
  <c r="Q29" i="1"/>
  <c r="R29" i="1" s="1"/>
  <c r="Q12" i="1"/>
  <c r="R12" i="1" s="1"/>
  <c r="N11" i="1"/>
  <c r="B37" i="1"/>
  <c r="B43" i="1" s="1"/>
  <c r="Q14" i="1"/>
  <c r="R14" i="1" s="1"/>
  <c r="J37" i="1"/>
  <c r="J43" i="1" s="1"/>
  <c r="D37" i="1"/>
  <c r="D43" i="1" s="1"/>
  <c r="N37" i="1" l="1"/>
  <c r="Q11" i="1"/>
  <c r="R11" i="1" s="1"/>
  <c r="Q25" i="1"/>
  <c r="R25" i="1" s="1"/>
  <c r="N24" i="1"/>
  <c r="Q24" i="1" s="1"/>
  <c r="R24" i="1" s="1"/>
  <c r="N43" i="1" l="1"/>
  <c r="Q43" i="1" s="1"/>
  <c r="Q37" i="1"/>
  <c r="R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Manuel Vega Navarrate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EXTRAER INFORMACION DE ESTADOS FINANCIEROS Y BALANZA … </t>
        </r>
        <r>
          <rPr>
            <b/>
            <sz val="9"/>
            <color indexed="81"/>
            <rFont val="Tahoma"/>
            <family val="2"/>
          </rPr>
          <t>EN CASO DE CONSIDERAR LAS BONIFICACIONES Y DESCUENTOS COMO GASTO FAVOR DE CLASIFICARLOS DES PUES DE INGRESOS COMO EL FORMATO Y QUITARLO A LOS GASTOS. DEBERÁ CHECAR CON SU ESTADO DE RESULTADOS</t>
        </r>
      </text>
    </comment>
    <comment ref="A3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ESTA PAGANDO CREDITOS CONTRACTUALES</t>
        </r>
      </text>
    </comment>
    <comment ref="A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INVERSIONES REALIZADAS CON RECURSOS PROPIOS DENTRO DEL MES
</t>
        </r>
      </text>
    </comment>
    <comment ref="A4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BALANCE GENERAL O ESTADO DE SITUACIÓN FINANCIERA
</t>
        </r>
      </text>
    </comment>
    <comment ref="A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ENERGIA ELECTRICA CFE</t>
        </r>
      </text>
    </comment>
    <comment ref="I56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J5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K56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L56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Manuel Vega Navarrate:</t>
        </r>
        <r>
          <rPr>
            <sz val="9"/>
            <color indexed="81"/>
            <rFont val="Tahoma"/>
            <family val="2"/>
          </rPr>
          <t xml:space="preserve">
Faltan de Pagar algunos recibos de CFE, pero ya es el dato con el que se cerrara el mes.</t>
        </r>
      </text>
    </comment>
    <comment ref="A6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 LOS RECIBOS DE ENERGÍA ELÉCTRICA CFE</t>
        </r>
      </text>
    </comment>
    <comment ref="A6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
</t>
        </r>
      </text>
    </comment>
    <comment ref="A6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SI EXISTE EL PLAN DE REALIZARLO  DE LO CONTRARIO SOLO PONER N/A</t>
        </r>
      </text>
    </comment>
    <comment ref="A7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MEDICION DE LAS FUENTES POR TIPO
</t>
        </r>
      </text>
    </comment>
    <comment ref="A7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8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  <comment ref="A8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LAS BITACORAS DE LECTURA DE  MEDICIÓN EN LA PLANTA TRATADORA O ESTIMADO.</t>
        </r>
      </text>
    </comment>
    <comment ref="A9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 PARA LO FACTURADO Y COBRADO EN $</t>
        </r>
      </text>
    </comment>
    <comment ref="A111" authorId="0" shapeId="0" xr:uid="{00000000-0006-0000-0000-000012000000}">
      <text>
        <r>
          <rPr>
            <sz val="9"/>
            <color indexed="81"/>
            <rFont val="Tahoma"/>
            <family val="2"/>
          </rPr>
          <t>MANUELVAL:SOLO AQUELLOS QUE EFECTIVAMENTE SE REALIZARON YA QUE AL ACUDIR AL CORTE EL USUARIO EN ALGUNOS CASOS REALIZA EL PAGO INMEDIATO.</t>
        </r>
      </text>
    </comment>
    <comment ref="A1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TAMBIEN LAS EFECTIVAMENTE RERALIZADAS EN LAS BITACORAS O CONTROLES.</t>
        </r>
      </text>
    </comment>
    <comment ref="A1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 CONTABILIZADO POR ESTE CONCEPTO
</t>
        </r>
      </text>
    </comment>
    <comment ref="A11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SISTEMA LECTURA CEL O COMERCIAL, SEPARAR TOMAS ACTIVAS DE LAS NO ACTIVAS O CONGELADAS COMO LO MUESTRA EL CUADRO</t>
        </r>
      </text>
    </comment>
    <comment ref="A13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comercial. </t>
        </r>
        <r>
          <rPr>
            <b/>
            <sz val="9"/>
            <color indexed="81"/>
            <rFont val="Tahoma"/>
            <family val="2"/>
          </rPr>
          <t>SE TOMA EL REZAGO SIN RECARGOS</t>
        </r>
      </text>
    </comment>
    <comment ref="A14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del resumen operativo del sistema lectura cel o comercial</t>
        </r>
      </text>
    </comment>
    <comment ref="A14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TOMAR DEL PADRON POR RANGOS DE CONSUMO LA TARIFA EN LA QUE HUBO MAS USUARIOS EN EL MES</t>
        </r>
      </text>
    </comment>
    <comment ref="A158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TENER EL DATO DE </t>
        </r>
        <r>
          <rPr>
            <b/>
            <sz val="9"/>
            <color indexed="81"/>
            <rFont val="Tahoma"/>
            <family val="2"/>
          </rPr>
          <t>CONAPO</t>
        </r>
        <r>
          <rPr>
            <sz val="9"/>
            <color indexed="81"/>
            <rFont val="Tahoma"/>
            <family val="2"/>
          </rPr>
          <t xml:space="preserve"> SE INCLUYE.</t>
        </r>
      </text>
    </comment>
    <comment ref="A15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6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ESTIMADO CON BASE A INFORMACIÓN QUE SE POSEA EN EL ORGANISMO.</t>
        </r>
      </text>
    </comment>
    <comment ref="A16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COMUNIDADES, COMITES QUE EL ORGANISMO ATIENDE ADEMAS DE LO CORRESPONDIENTE A SUS CINCURSCRIPCIÓN</t>
        </r>
      </text>
    </comment>
    <comment ref="A16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DATO DE COUNIDADES ATENDIDAS ESTIMAR EL NUMERO DE USUARIOS SEGÚN EL PADRON DE CADA UNA</t>
        </r>
      </text>
    </comment>
    <comment ref="A16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LECTURA CEL O COMERCIAL</t>
        </r>
      </text>
    </comment>
    <comment ref="A165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DATO OBTENIDO DEL AREA TECNICA RESULTADO DEL MONITOREO REALIZADO POR EL AREA TECNICA. PUEDE SER HISTORICO. EN CASO DE NO CONTAR CON EL, LLEVARLO A CABO</t>
        </r>
      </text>
    </comment>
    <comment ref="A168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69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EL REGISTRO QUE SE TENGA DE LA RED DE DISTRIBUCIÓN DE AGUA MAS ACTUAL.</t>
        </r>
      </text>
    </comment>
    <comment ref="A170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LA LONGITUD REHABILITADA EN EL MES EN KM</t>
        </r>
      </text>
    </comment>
    <comment ref="A171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EN CASO DE REHABILITAR O REPARAR MICROMEDIDORES</t>
        </r>
      </text>
    </comment>
    <comment ref="A17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LOS MICROMEDIDORES NUEVOS INSTALADOS POR SUSTITUCIÓN, A SOLICITUD DEL USUARIO , NUEVOS CONTRATOS, ETC.</t>
        </r>
      </text>
    </comment>
    <comment ref="A17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 LOS QUE EFECTIVAMENTE SE LES TOMA LECTURA, NO INCLUYE LOS ESTIMADOS, PROMEDIADOS, DESTRUIDOS, SIN FUNCIONAR, ETC.  </t>
        </r>
        <r>
          <rPr>
            <b/>
            <sz val="9"/>
            <color indexed="81"/>
            <rFont val="Tahoma"/>
            <family val="2"/>
          </rPr>
          <t>SOLO FUNCIONANDO</t>
        </r>
      </text>
    </comment>
    <comment ref="A17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MACROMEDIDORES INSTALADOS EN EL MES</t>
        </r>
      </text>
    </comment>
    <comment ref="A17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QUE SI FUNCIONEN Y ARROJEN LECTURAS CORRECTAMENTE. SEGÚN BITACORAS</t>
        </r>
      </text>
    </comment>
    <comment ref="A178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INVENTARIO DE FUENTES ACTIVAS Y EN DESUSO, TANQUES DE ALMACENAMIENTO O PILAS Y CAPACIDAD DE ALMACENAMIENTO. </t>
        </r>
      </text>
    </comment>
    <comment ref="A191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INCLUIR TODO EL PERSONAL SEA POR SUELDOS Y SALARIOS, HONORARIOS O ASIMILADOS. SEPARAR DE ACUERDO AL CUADRO</t>
        </r>
      </text>
    </comment>
    <comment ref="A20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MANUELVAL:
</t>
        </r>
        <r>
          <rPr>
            <sz val="9"/>
            <color indexed="81"/>
            <rFont val="Tahoma"/>
            <family val="2"/>
          </rPr>
          <t>QUE SE INVOLUCREN EN EL TEMA</t>
        </r>
      </text>
    </comment>
    <comment ref="A20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4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5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6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7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SEGÚN SUS BITACORAS O REPORTES DIARIOS</t>
        </r>
      </text>
    </comment>
    <comment ref="A20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SE REFIERE A AQUELLOS USUARIOS QUE RECIBEN AGUA LAS 24 HRS LOS 7 DIAS</t>
        </r>
      </text>
    </comment>
    <comment ref="A209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TOMAS CON SERVICIO DE TANDEO.</t>
        </r>
      </text>
    </comment>
  </commentList>
</comments>
</file>

<file path=xl/sharedStrings.xml><?xml version="1.0" encoding="utf-8"?>
<sst xmlns="http://schemas.openxmlformats.org/spreadsheetml/2006/main" count="224" uniqueCount="176">
  <si>
    <t>No. de tomas con servicio menor de 12 hrs</t>
  </si>
  <si>
    <t>No de tomas con servicio continuo</t>
  </si>
  <si>
    <t>No. de quejas atendidas</t>
  </si>
  <si>
    <t>No. de quejas recibidas</t>
  </si>
  <si>
    <t>No. de usuarios abastecidos con pipas</t>
  </si>
  <si>
    <t>No. de fugas reparadas</t>
  </si>
  <si>
    <t>No. de fugas detectadas</t>
  </si>
  <si>
    <t>No. de empleados dedicados al control de fugas</t>
  </si>
  <si>
    <t>Sistemas de Información de Usuarios</t>
  </si>
  <si>
    <t xml:space="preserve">                                          Sindicalizados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</si>
  <si>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</si>
  <si>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Sindicalizados</t>
  </si>
  <si>
    <t>c) Operación                 Confianza</t>
  </si>
  <si>
    <t>b) Comercialización       Confianza</t>
  </si>
  <si>
    <t>a) Administración          Confianza</t>
  </si>
  <si>
    <t>A) Empleados Activos (a+b+c)</t>
  </si>
  <si>
    <t>Recursos humanos</t>
  </si>
  <si>
    <r>
      <t>Volumen de Almacenamiento de los Tanques m</t>
    </r>
    <r>
      <rPr>
        <vertAlign val="superscript"/>
        <sz val="11"/>
        <color rgb="FFFF0000"/>
        <rFont val="Arial"/>
        <family val="2"/>
      </rPr>
      <t>3</t>
    </r>
  </si>
  <si>
    <t>No. De Tanques de Almacenamiento</t>
  </si>
  <si>
    <t>No. Fuentes de abastecimiento Activas</t>
  </si>
  <si>
    <t xml:space="preserve">           Otros</t>
  </si>
  <si>
    <t xml:space="preserve">           Manantiales</t>
  </si>
  <si>
    <t xml:space="preserve">           Galerias filtrantes</t>
  </si>
  <si>
    <t xml:space="preserve">           Presas</t>
  </si>
  <si>
    <t xml:space="preserve">           Pozos profundos</t>
  </si>
  <si>
    <t>No. Fuentes de abastecimiento</t>
  </si>
  <si>
    <t>No. de macromedidores calibrados</t>
  </si>
  <si>
    <t>No. de macromedidores funcionando</t>
  </si>
  <si>
    <t>No. de macromedidores instalados en captaciones</t>
  </si>
  <si>
    <t>No. de micromedidores calibrados</t>
  </si>
  <si>
    <t>No. de micromedidores funcionando</t>
  </si>
  <si>
    <t>No. de micromedidores Instalados Nuevos</t>
  </si>
  <si>
    <t>No. de micromedidores rehabilitados</t>
  </si>
  <si>
    <t>Longitud de tubería de distribución  rehabilitada (Km)</t>
  </si>
  <si>
    <t>Longitud total de Alcantarillado (km)</t>
  </si>
  <si>
    <t>Longitud total de tubería de distribución (km)</t>
  </si>
  <si>
    <t>Presion maxima de suministro en la red (mca)</t>
  </si>
  <si>
    <t>Presión media de suministro en la red (mca)</t>
  </si>
  <si>
    <t>Presion minima de suministro en la red (mca)</t>
  </si>
  <si>
    <t>No. de usuarios con descuento social</t>
  </si>
  <si>
    <t xml:space="preserve">No. de usuarios con pagos a tiempo </t>
  </si>
  <si>
    <t>No. de usuarios  en las Localidades Atendidas</t>
  </si>
  <si>
    <t>No. de Localidades Atendidas (comunidades o comites de agua)</t>
  </si>
  <si>
    <t>No. de habitantes con servicio de alcantarillado</t>
  </si>
  <si>
    <t>No. de habitantes con servicio de agua potable</t>
  </si>
  <si>
    <t>No. habitantes según censo de INEGI</t>
  </si>
  <si>
    <t xml:space="preserve">Coberturas de servicios </t>
  </si>
  <si>
    <t/>
  </si>
  <si>
    <t>A los usuarios de cuota fija se asigna volumen estimado m3/mes</t>
  </si>
  <si>
    <t xml:space="preserve">               Industrial $   50 m3</t>
  </si>
  <si>
    <t xml:space="preserve">               Comercial $  20 m3</t>
  </si>
  <si>
    <t xml:space="preserve">              Domiciliaria $   20 m3</t>
  </si>
  <si>
    <t>Tarifa mas Popular $</t>
  </si>
  <si>
    <t xml:space="preserve">              1 año</t>
  </si>
  <si>
    <t xml:space="preserve">              8 meses</t>
  </si>
  <si>
    <t xml:space="preserve">              4 meses</t>
  </si>
  <si>
    <t xml:space="preserve">              2 meses</t>
  </si>
  <si>
    <t>No. De tomas con rezago:</t>
  </si>
  <si>
    <t>C) Público</t>
  </si>
  <si>
    <t>B) Escolar</t>
  </si>
  <si>
    <t>c) Industrial</t>
  </si>
  <si>
    <t>b) Comercial</t>
  </si>
  <si>
    <t>a) Doméstico</t>
  </si>
  <si>
    <t>A) Rezago cobrable (a+b+c)</t>
  </si>
  <si>
    <t>Monto del Rezago (A+B+C)</t>
  </si>
  <si>
    <t xml:space="preserve">Analítico del Rezago </t>
  </si>
  <si>
    <t>Cobertura de Alcantarillado</t>
  </si>
  <si>
    <t>Total de descargas de alcantarillado</t>
  </si>
  <si>
    <t>C) Conexiones No Activas o Congeladas</t>
  </si>
  <si>
    <t>e) Público</t>
  </si>
  <si>
    <t>d) Escolar</t>
  </si>
  <si>
    <t>B) Conexiones de cuota fija (a+b+c+d+e)</t>
  </si>
  <si>
    <t>A) Conexiones de servicio medido  (a+b+c+d+e)</t>
  </si>
  <si>
    <t>Total de conexiones de agua Activas (A+B)</t>
  </si>
  <si>
    <t>Padrón de usuarios</t>
  </si>
  <si>
    <t>Importe de Multas Cobradas</t>
  </si>
  <si>
    <t>No. De Reconexiones del Mes</t>
  </si>
  <si>
    <t>No. De Cortes Efectivos del Mes</t>
  </si>
  <si>
    <t>E) Público</t>
  </si>
  <si>
    <t>D) Escolar</t>
  </si>
  <si>
    <t>C) Industrial</t>
  </si>
  <si>
    <t>B) Comercial</t>
  </si>
  <si>
    <t>A) Doméstico</t>
  </si>
  <si>
    <t>Cobrado de Agua, Alcant. y Saneamiento en $ (A+B+C+D+E)</t>
  </si>
  <si>
    <t>Facturación de Agua, Alcant. y Saneamiento en $ (A+B+C+D+E)</t>
  </si>
  <si>
    <t>Comercial</t>
  </si>
  <si>
    <t xml:space="preserve">     C) Descargada</t>
  </si>
  <si>
    <t xml:space="preserve">     B) Comprometida</t>
  </si>
  <si>
    <t xml:space="preserve">     A) Vendida</t>
  </si>
  <si>
    <t>Volumen de agua producido en m3 (sale de planta)</t>
  </si>
  <si>
    <t>Volumen de agua tratado en m3 (entra a planta)</t>
  </si>
  <si>
    <t>Agua Tratada (lagunas de oxidación, PTAR, etc)</t>
  </si>
  <si>
    <t>Saneamiento</t>
  </si>
  <si>
    <t>B) Con Rezago</t>
  </si>
  <si>
    <t>A) A Tiempo</t>
  </si>
  <si>
    <t>Volumen de agua cobrado en m3 (A+B)</t>
  </si>
  <si>
    <t>Volumen de agua facturada en m3 (A+B+C+D+E)</t>
  </si>
  <si>
    <t>Presas</t>
  </si>
  <si>
    <t>Manantial</t>
  </si>
  <si>
    <t>Galerias Filtrantes</t>
  </si>
  <si>
    <t>Pozo Profundo</t>
  </si>
  <si>
    <r>
      <t>Volumen de agua producida en m</t>
    </r>
    <r>
      <rPr>
        <b/>
        <vertAlign val="superscript"/>
        <sz val="11"/>
        <color indexed="8"/>
        <rFont val="Arial"/>
        <family val="2"/>
      </rPr>
      <t>3</t>
    </r>
  </si>
  <si>
    <t>Agua Potable</t>
  </si>
  <si>
    <t>N/A</t>
  </si>
  <si>
    <t>Avance de Diagnostico de Medición de Presiones y Recuperción de caudales (% avance)</t>
  </si>
  <si>
    <t>Avance de Estudio de Eficiencia Electromecanica (% avance)</t>
  </si>
  <si>
    <t>C) Saneamiento</t>
  </si>
  <si>
    <t>B) Alcantarillado</t>
  </si>
  <si>
    <t>A) Agua potable</t>
  </si>
  <si>
    <t>Desglose Consumo Eléctrico $ (Pesos)</t>
  </si>
  <si>
    <t>Energía Eléctrica de Operación en KW (A+B+C)</t>
  </si>
  <si>
    <t xml:space="preserve">      Saldo DFEA pendente de pago</t>
  </si>
  <si>
    <t xml:space="preserve">       Pasivo Total</t>
  </si>
  <si>
    <t>Pasivo Circulante</t>
  </si>
  <si>
    <t xml:space="preserve">       Activo Total</t>
  </si>
  <si>
    <t>Activo Circulante</t>
  </si>
  <si>
    <t>Inversiones</t>
  </si>
  <si>
    <t>Provisiones</t>
  </si>
  <si>
    <t>Cuenta Corriente</t>
  </si>
  <si>
    <t>Saldo En Bancos</t>
  </si>
  <si>
    <t>Cuentas de Balance</t>
  </si>
  <si>
    <t>D) Inversiones de Gobierno</t>
  </si>
  <si>
    <t>Deficit</t>
  </si>
  <si>
    <t>Activo Fijo</t>
  </si>
  <si>
    <t>Rehabilitación</t>
  </si>
  <si>
    <t>Ampliación</t>
  </si>
  <si>
    <t>C) Inversiones propias</t>
  </si>
  <si>
    <t>B) Creditos</t>
  </si>
  <si>
    <t>Resultado del Ejercicio</t>
  </si>
  <si>
    <t>* NO REPETIR LAS BONIFICACIONES, DESCUENTOS Y AJUSTES EN LOS GASTOS OPERATIVOS.</t>
  </si>
  <si>
    <t>e) Otros Gastos y Perdidas Extraordinarias</t>
  </si>
  <si>
    <t xml:space="preserve">     ii) Resto de Tranferencia al resto Sect Pub</t>
  </si>
  <si>
    <t xml:space="preserve">     i) Tranferencia al resto Sect Pub (5% JCAS)</t>
  </si>
  <si>
    <t>d) Apoyos y transferencias y Otros</t>
  </si>
  <si>
    <t>iv) Resto de los Servicios</t>
  </si>
  <si>
    <t xml:space="preserve">iii) DFEA Pagados </t>
  </si>
  <si>
    <t>i) Energía eléctrica (operación)</t>
  </si>
  <si>
    <t>c) Servicios Generales (i+ii+iii)</t>
  </si>
  <si>
    <t>b) Materiales y suministros</t>
  </si>
  <si>
    <t>a) Servicios personales</t>
  </si>
  <si>
    <t>A) Costos y gastos de Operación (a+b+c+d+e)</t>
  </si>
  <si>
    <t>2. Egresos (A+B+C)</t>
  </si>
  <si>
    <t>C) Otros Ingresos y Beneficios Varios</t>
  </si>
  <si>
    <t>B) Participaciones, Aportaciones, Convenios</t>
  </si>
  <si>
    <t>d) Ajustes</t>
  </si>
  <si>
    <t>c) Bonificaciones</t>
  </si>
  <si>
    <t>b) Descuento social</t>
  </si>
  <si>
    <t>c) Ingresos por Venta de Bienes y Prestacion Servicios</t>
  </si>
  <si>
    <t>b) Productos</t>
  </si>
  <si>
    <t>ii) resto de los ingresos por derechos</t>
  </si>
  <si>
    <t>i) ingresos por agua, alcantarillado y saneamiento</t>
  </si>
  <si>
    <t>a) Derechos (i+ii)</t>
  </si>
  <si>
    <t>A) Ingresos de gestion (a+b+c)</t>
  </si>
  <si>
    <t>1. Ingresos  (A+B)</t>
  </si>
  <si>
    <t>Resultados de Gestion</t>
  </si>
  <si>
    <t>Ejer &amp; Ppto</t>
  </si>
  <si>
    <t>Diferencia</t>
  </si>
  <si>
    <t>Presupuesto Acumulado del Periodo</t>
  </si>
  <si>
    <t>Presupuesto Anual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</si>
  <si>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</si>
  <si>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</si>
  <si>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</si>
  <si>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</si>
  <si>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</si>
  <si>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</si>
  <si>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</si>
  <si>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</si>
  <si>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</si>
  <si>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</si>
  <si>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</si>
  <si>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</si>
  <si>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</si>
  <si>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Variables</t>
  </si>
  <si>
    <t>Ejercicio Fiscal 2022</t>
  </si>
  <si>
    <t>PROGRAMA DE INDICADORES DE GESTION DE ORGANISMOS OPERADORES</t>
  </si>
  <si>
    <t>JUNTA MUNICIPAL DE AGUA Y SANEAMIENTO DE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</si>
</sst>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-* #,##0.000_-;\-* #,##0.000_-;_-* &quot;-&quot;??_-;_-@_-"/>
    <numFmt numFmtId="167" formatCode="_(* #,##0_);_(* \(#,##0\);_(* &quot;-&quot;??_);_(@_)"/>
    <numFmt numFmtId="168" formatCode="#,##0.00;[Red]#,##0.00"/>
    <numFmt numFmtId="169" formatCode="_(* #,##0.00_);_(* \(#,##0.00\);_(* &quot;-&quot;??_);_(@_)"/>
    <numFmt numFmtId="170" formatCode="#,##0.00_ ;\-#,##0.00\ "/>
    <numFmt numFmtId="171" formatCode="#,##0.00_ ;[Red]\-#,##0.0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vertAlign val="superscript"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color rgb="FF002060"/>
      <name val="Arial"/>
      <family val="2"/>
    </font>
    <font>
      <sz val="11"/>
      <color theme="0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8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</cellStyleXfs>
  <cellXfs count="132">
    <xf numFmtId="0" fontId="0" fillId="0" borderId="0" xfId="0"/>
    <xf numFmtId="49" fontId="3" fillId="0" borderId="0" xfId="3" applyNumberFormat="1" applyFont="1"/>
    <xf numFmtId="0" fontId="4" fillId="0" borderId="0" xfId="3" applyFont="1"/>
    <xf numFmtId="164" fontId="4" fillId="0" borderId="0" xfId="3" applyNumberFormat="1" applyFont="1"/>
    <xf numFmtId="9" fontId="5" fillId="0" borderId="1" xfId="2" applyFont="1" applyFill="1" applyBorder="1" applyAlignment="1" applyProtection="1">
      <alignment horizontal="right" vertical="center"/>
    </xf>
    <xf numFmtId="165" fontId="5" fillId="0" borderId="2" xfId="4" applyNumberFormat="1" applyFont="1" applyFill="1" applyBorder="1" applyAlignment="1" applyProtection="1">
      <alignment horizontal="right" vertical="center"/>
      <protection locked="0"/>
    </xf>
    <xf numFmtId="165" fontId="5" fillId="0" borderId="3" xfId="4" applyNumberFormat="1" applyFont="1" applyFill="1" applyBorder="1" applyAlignment="1" applyProtection="1">
      <alignment horizontal="right" vertical="center"/>
      <protection locked="0"/>
    </xf>
    <xf numFmtId="165" fontId="5" fillId="2" borderId="2" xfId="4" applyNumberFormat="1" applyFont="1" applyFill="1" applyBorder="1" applyAlignment="1" applyProtection="1">
      <alignment horizontal="right" vertical="center"/>
      <protection locked="0"/>
    </xf>
    <xf numFmtId="165" fontId="5" fillId="2" borderId="4" xfId="4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left" vertical="center"/>
    </xf>
    <xf numFmtId="0" fontId="0" fillId="3" borderId="0" xfId="0" applyFill="1"/>
    <xf numFmtId="165" fontId="5" fillId="0" borderId="6" xfId="4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>
      <alignment horizontal="left" vertical="center"/>
    </xf>
    <xf numFmtId="165" fontId="7" fillId="0" borderId="6" xfId="4" applyNumberFormat="1" applyFont="1" applyFill="1" applyBorder="1" applyAlignment="1" applyProtection="1">
      <alignment horizontal="right" vertical="center"/>
    </xf>
    <xf numFmtId="165" fontId="7" fillId="0" borderId="8" xfId="4" applyNumberFormat="1" applyFont="1" applyFill="1" applyBorder="1" applyAlignment="1" applyProtection="1">
      <alignment horizontal="right" vertical="center"/>
    </xf>
    <xf numFmtId="165" fontId="7" fillId="0" borderId="9" xfId="4" applyNumberFormat="1" applyFont="1" applyFill="1" applyBorder="1" applyAlignment="1" applyProtection="1">
      <alignment horizontal="right" vertical="center"/>
    </xf>
    <xf numFmtId="165" fontId="7" fillId="0" borderId="10" xfId="4" applyNumberFormat="1" applyFont="1" applyFill="1" applyBorder="1" applyAlignment="1" applyProtection="1">
      <alignment horizontal="right" vertical="center"/>
    </xf>
    <xf numFmtId="0" fontId="7" fillId="4" borderId="7" xfId="0" applyFont="1" applyFill="1" applyBorder="1" applyAlignment="1">
      <alignment horizontal="center" vertical="center"/>
    </xf>
    <xf numFmtId="164" fontId="4" fillId="0" borderId="6" xfId="3" applyNumberFormat="1" applyFont="1" applyBorder="1" applyAlignment="1" applyProtection="1">
      <alignment horizontal="right"/>
      <protection locked="0"/>
    </xf>
    <xf numFmtId="164" fontId="4" fillId="0" borderId="11" xfId="3" applyNumberFormat="1" applyFont="1" applyBorder="1" applyAlignment="1" applyProtection="1">
      <alignment horizontal="right"/>
      <protection locked="0"/>
    </xf>
    <xf numFmtId="0" fontId="4" fillId="0" borderId="12" xfId="3" applyFont="1" applyBorder="1" applyAlignment="1">
      <alignment horizontal="left" indent="1"/>
    </xf>
    <xf numFmtId="0" fontId="6" fillId="0" borderId="7" xfId="0" applyFont="1" applyBorder="1" applyAlignment="1">
      <alignment horizontal="left" vertical="center" indent="2"/>
    </xf>
    <xf numFmtId="0" fontId="8" fillId="2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4"/>
    </xf>
    <xf numFmtId="165" fontId="7" fillId="5" borderId="6" xfId="4" applyNumberFormat="1" applyFont="1" applyFill="1" applyBorder="1" applyAlignment="1" applyProtection="1">
      <alignment horizontal="right" vertical="center"/>
    </xf>
    <xf numFmtId="0" fontId="10" fillId="5" borderId="7" xfId="0" applyFont="1" applyFill="1" applyBorder="1" applyAlignment="1">
      <alignment horizontal="left" vertical="center"/>
    </xf>
    <xf numFmtId="165" fontId="5" fillId="0" borderId="6" xfId="4" applyNumberFormat="1" applyFont="1" applyFill="1" applyBorder="1" applyAlignment="1" applyProtection="1">
      <alignment horizontal="right" vertical="center"/>
    </xf>
    <xf numFmtId="164" fontId="4" fillId="0" borderId="9" xfId="3" applyNumberFormat="1" applyFont="1" applyBorder="1" applyAlignment="1">
      <alignment horizontal="right"/>
    </xf>
    <xf numFmtId="0" fontId="4" fillId="0" borderId="13" xfId="3" applyFont="1" applyBorder="1"/>
    <xf numFmtId="0" fontId="4" fillId="0" borderId="14" xfId="3" applyFont="1" applyBorder="1"/>
    <xf numFmtId="0" fontId="5" fillId="0" borderId="7" xfId="0" applyFont="1" applyBorder="1" applyAlignment="1">
      <alignment horizontal="left" vertical="center"/>
    </xf>
    <xf numFmtId="165" fontId="5" fillId="0" borderId="6" xfId="4" applyNumberFormat="1" applyFont="1" applyFill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left"/>
    </xf>
    <xf numFmtId="1" fontId="5" fillId="0" borderId="6" xfId="5" applyNumberFormat="1" applyFont="1" applyFill="1" applyBorder="1" applyAlignment="1" applyProtection="1">
      <alignment horizontal="right" vertical="center"/>
      <protection locked="0"/>
    </xf>
    <xf numFmtId="165" fontId="5" fillId="5" borderId="6" xfId="4" applyNumberFormat="1" applyFont="1" applyFill="1" applyBorder="1" applyAlignment="1" applyProtection="1">
      <alignment horizontal="right" vertical="center"/>
      <protection locked="0"/>
    </xf>
    <xf numFmtId="165" fontId="7" fillId="5" borderId="6" xfId="4" applyNumberFormat="1" applyFont="1" applyFill="1" applyBorder="1" applyAlignment="1" applyProtection="1">
      <alignment horizontal="right" vertical="center"/>
      <protection locked="0"/>
    </xf>
    <xf numFmtId="0" fontId="5" fillId="5" borderId="7" xfId="0" applyFont="1" applyFill="1" applyBorder="1" applyAlignment="1">
      <alignment horizontal="left" vertical="center"/>
    </xf>
    <xf numFmtId="3" fontId="4" fillId="2" borderId="6" xfId="4" applyNumberFormat="1" applyFont="1" applyFill="1" applyBorder="1" applyProtection="1">
      <protection locked="0"/>
    </xf>
    <xf numFmtId="43" fontId="5" fillId="0" borderId="6" xfId="4" applyFont="1" applyFill="1" applyBorder="1" applyAlignment="1" applyProtection="1">
      <alignment horizontal="right" vertical="center"/>
      <protection locked="0"/>
    </xf>
    <xf numFmtId="166" fontId="5" fillId="0" borderId="6" xfId="4" applyNumberFormat="1" applyFont="1" applyFill="1" applyBorder="1" applyAlignment="1" applyProtection="1">
      <alignment horizontal="right" vertical="center"/>
      <protection locked="0"/>
    </xf>
    <xf numFmtId="9" fontId="5" fillId="0" borderId="6" xfId="2" applyFont="1" applyFill="1" applyBorder="1" applyAlignment="1" applyProtection="1">
      <alignment horizontal="right" vertical="center"/>
      <protection locked="0"/>
    </xf>
    <xf numFmtId="167" fontId="4" fillId="0" borderId="6" xfId="4" applyNumberFormat="1" applyFont="1" applyFill="1" applyBorder="1" applyAlignment="1" applyProtection="1">
      <alignment vertical="center"/>
      <protection locked="0"/>
    </xf>
    <xf numFmtId="168" fontId="4" fillId="0" borderId="6" xfId="4" applyNumberFormat="1" applyFont="1" applyFill="1" applyBorder="1" applyProtection="1">
      <protection locked="0"/>
    </xf>
    <xf numFmtId="167" fontId="12" fillId="0" borderId="15" xfId="4" quotePrefix="1" applyNumberFormat="1" applyFont="1" applyFill="1" applyBorder="1" applyAlignment="1" applyProtection="1">
      <alignment vertical="center" wrapText="1"/>
    </xf>
    <xf numFmtId="167" fontId="4" fillId="0" borderId="7" xfId="4" applyNumberFormat="1" applyFont="1" applyFill="1" applyBorder="1" applyAlignment="1" applyProtection="1">
      <alignment horizontal="left" indent="1"/>
    </xf>
    <xf numFmtId="0" fontId="5" fillId="0" borderId="7" xfId="0" applyFont="1" applyBorder="1" applyAlignment="1">
      <alignment horizontal="left" vertical="center" indent="2"/>
    </xf>
    <xf numFmtId="43" fontId="5" fillId="0" borderId="6" xfId="4" applyFont="1" applyFill="1" applyBorder="1" applyAlignment="1" applyProtection="1">
      <alignment horizontal="right" vertical="center"/>
    </xf>
    <xf numFmtId="43" fontId="7" fillId="5" borderId="6" xfId="4" applyFont="1" applyFill="1" applyBorder="1" applyAlignment="1" applyProtection="1">
      <alignment horizontal="right" vertical="center"/>
    </xf>
    <xf numFmtId="0" fontId="7" fillId="5" borderId="7" xfId="0" applyFont="1" applyFill="1" applyBorder="1" applyAlignment="1">
      <alignment horizontal="left" vertical="center" indent="2"/>
    </xf>
    <xf numFmtId="43" fontId="7" fillId="6" borderId="6" xfId="4" applyFont="1" applyFill="1" applyBorder="1" applyAlignment="1" applyProtection="1">
      <alignment horizontal="right" vertical="center"/>
    </xf>
    <xf numFmtId="0" fontId="10" fillId="6" borderId="7" xfId="0" applyFont="1" applyFill="1" applyBorder="1" applyAlignment="1">
      <alignment horizontal="left" vertical="center"/>
    </xf>
    <xf numFmtId="165" fontId="7" fillId="0" borderId="6" xfId="4" applyNumberFormat="1" applyFont="1" applyFill="1" applyBorder="1" applyAlignment="1" applyProtection="1">
      <alignment horizontal="right" vertical="center"/>
      <protection locked="0"/>
    </xf>
    <xf numFmtId="165" fontId="7" fillId="2" borderId="6" xfId="4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Border="1" applyAlignment="1">
      <alignment horizontal="left" vertical="center"/>
    </xf>
    <xf numFmtId="9" fontId="7" fillId="5" borderId="6" xfId="2" applyFont="1" applyFill="1" applyBorder="1" applyAlignment="1" applyProtection="1">
      <alignment horizontal="right" vertical="center"/>
      <protection locked="0"/>
    </xf>
    <xf numFmtId="0" fontId="8" fillId="5" borderId="7" xfId="0" applyFont="1" applyFill="1" applyBorder="1" applyAlignment="1">
      <alignment horizontal="left" vertical="center"/>
    </xf>
    <xf numFmtId="165" fontId="5" fillId="2" borderId="6" xfId="4" applyNumberFormat="1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vertical="center" indent="4"/>
    </xf>
    <xf numFmtId="165" fontId="7" fillId="6" borderId="6" xfId="4" applyNumberFormat="1" applyFont="1" applyFill="1" applyBorder="1" applyAlignment="1" applyProtection="1">
      <alignment horizontal="right" vertical="center"/>
    </xf>
    <xf numFmtId="3" fontId="4" fillId="0" borderId="6" xfId="4" applyNumberFormat="1" applyFont="1" applyFill="1" applyBorder="1" applyProtection="1">
      <protection locked="0"/>
    </xf>
    <xf numFmtId="167" fontId="4" fillId="0" borderId="7" xfId="4" quotePrefix="1" applyNumberFormat="1" applyFont="1" applyBorder="1" applyAlignment="1" applyProtection="1">
      <alignment horizontal="left" indent="3"/>
    </xf>
    <xf numFmtId="8" fontId="5" fillId="0" borderId="6" xfId="4" applyNumberFormat="1" applyFont="1" applyFill="1" applyBorder="1" applyAlignment="1" applyProtection="1">
      <alignment horizontal="right" vertical="center"/>
      <protection locked="0"/>
    </xf>
    <xf numFmtId="43" fontId="5" fillId="2" borderId="6" xfId="4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left" vertical="center" indent="2"/>
    </xf>
    <xf numFmtId="164" fontId="4" fillId="0" borderId="6" xfId="6" applyNumberFormat="1" applyFont="1" applyFill="1" applyBorder="1" applyProtection="1"/>
    <xf numFmtId="167" fontId="4" fillId="0" borderId="7" xfId="4" applyNumberFormat="1" applyFont="1" applyBorder="1" applyAlignment="1" applyProtection="1">
      <alignment horizontal="left" indent="1"/>
    </xf>
    <xf numFmtId="43" fontId="7" fillId="2" borderId="6" xfId="4" applyFont="1" applyFill="1" applyBorder="1" applyAlignment="1" applyProtection="1">
      <alignment horizontal="right" vertical="center"/>
      <protection locked="0"/>
    </xf>
    <xf numFmtId="0" fontId="14" fillId="0" borderId="7" xfId="0" applyFont="1" applyBorder="1" applyAlignment="1">
      <alignment horizontal="left" vertical="center" indent="3"/>
    </xf>
    <xf numFmtId="0" fontId="9" fillId="0" borderId="7" xfId="0" applyFont="1" applyBorder="1" applyAlignment="1">
      <alignment horizontal="left" vertical="center" indent="3"/>
    </xf>
    <xf numFmtId="43" fontId="7" fillId="5" borderId="6" xfId="4" applyFont="1" applyFill="1" applyBorder="1" applyAlignment="1" applyProtection="1">
      <alignment horizontal="right" vertical="center"/>
      <protection locked="0"/>
    </xf>
    <xf numFmtId="0" fontId="9" fillId="5" borderId="7" xfId="0" applyFont="1" applyFill="1" applyBorder="1" applyAlignment="1">
      <alignment horizontal="left" vertical="center" indent="3"/>
    </xf>
    <xf numFmtId="0" fontId="10" fillId="4" borderId="7" xfId="0" applyFont="1" applyFill="1" applyBorder="1" applyAlignment="1">
      <alignment horizontal="left" vertical="center"/>
    </xf>
    <xf numFmtId="167" fontId="4" fillId="0" borderId="6" xfId="4" applyNumberFormat="1" applyFont="1" applyFill="1" applyBorder="1" applyProtection="1">
      <protection locked="0"/>
    </xf>
    <xf numFmtId="0" fontId="5" fillId="0" borderId="6" xfId="4" applyNumberFormat="1" applyFont="1" applyFill="1" applyBorder="1" applyAlignment="1" applyProtection="1">
      <alignment horizontal="right" vertical="center"/>
      <protection locked="0"/>
    </xf>
    <xf numFmtId="0" fontId="7" fillId="5" borderId="6" xfId="4" applyNumberFormat="1" applyFont="1" applyFill="1" applyBorder="1" applyAlignment="1" applyProtection="1">
      <alignment horizontal="right" vertical="center"/>
    </xf>
    <xf numFmtId="167" fontId="4" fillId="0" borderId="6" xfId="4" applyNumberFormat="1" applyFont="1" applyFill="1" applyBorder="1" applyProtection="1"/>
    <xf numFmtId="167" fontId="12" fillId="0" borderId="7" xfId="4" applyNumberFormat="1" applyFont="1" applyBorder="1" applyAlignment="1" applyProtection="1">
      <alignment horizontal="left" indent="1"/>
    </xf>
    <xf numFmtId="3" fontId="12" fillId="0" borderId="0" xfId="3" applyNumberFormat="1" applyFont="1"/>
    <xf numFmtId="0" fontId="12" fillId="0" borderId="7" xfId="3" applyFont="1" applyBorder="1"/>
    <xf numFmtId="0" fontId="6" fillId="2" borderId="16" xfId="0" applyFont="1" applyFill="1" applyBorder="1" applyAlignment="1">
      <alignment horizontal="left" vertical="center" indent="2"/>
    </xf>
    <xf numFmtId="43" fontId="7" fillId="7" borderId="17" xfId="4" applyFont="1" applyFill="1" applyBorder="1" applyAlignment="1" applyProtection="1">
      <alignment horizontal="right" vertical="center"/>
    </xf>
    <xf numFmtId="165" fontId="7" fillId="7" borderId="17" xfId="4" applyNumberFormat="1" applyFont="1" applyFill="1" applyBorder="1" applyAlignment="1" applyProtection="1">
      <alignment horizontal="right" vertical="center"/>
    </xf>
    <xf numFmtId="0" fontId="10" fillId="7" borderId="18" xfId="0" applyFont="1" applyFill="1" applyBorder="1" applyAlignment="1">
      <alignment horizontal="left" vertical="center"/>
    </xf>
    <xf numFmtId="9" fontId="5" fillId="0" borderId="6" xfId="4" applyNumberFormat="1" applyFont="1" applyFill="1" applyBorder="1" applyAlignment="1" applyProtection="1">
      <alignment horizontal="right" vertical="center"/>
    </xf>
    <xf numFmtId="169" fontId="5" fillId="0" borderId="6" xfId="1" applyFont="1" applyFill="1" applyBorder="1" applyAlignment="1" applyProtection="1">
      <alignment horizontal="right" vertical="center"/>
      <protection locked="0"/>
    </xf>
    <xf numFmtId="0" fontId="5" fillId="2" borderId="16" xfId="0" applyFont="1" applyFill="1" applyBorder="1" applyAlignment="1">
      <alignment horizontal="left" vertical="center" indent="2"/>
    </xf>
    <xf numFmtId="0" fontId="10" fillId="4" borderId="18" xfId="0" applyFont="1" applyFill="1" applyBorder="1" applyAlignment="1">
      <alignment horizontal="left" vertical="center"/>
    </xf>
    <xf numFmtId="43" fontId="5" fillId="0" borderId="19" xfId="4" applyFont="1" applyFill="1" applyBorder="1" applyAlignment="1" applyProtection="1">
      <alignment horizontal="right" vertical="center"/>
    </xf>
    <xf numFmtId="0" fontId="17" fillId="0" borderId="16" xfId="7" applyFont="1" applyBorder="1"/>
    <xf numFmtId="0" fontId="6" fillId="0" borderId="7" xfId="0" applyFont="1" applyBorder="1" applyAlignment="1">
      <alignment horizontal="left" vertical="center" indent="6"/>
    </xf>
    <xf numFmtId="43" fontId="5" fillId="2" borderId="6" xfId="4" applyFont="1" applyFill="1" applyBorder="1" applyAlignment="1" applyProtection="1">
      <alignment horizontal="right" vertical="center"/>
    </xf>
    <xf numFmtId="9" fontId="7" fillId="0" borderId="1" xfId="2" applyFont="1" applyFill="1" applyBorder="1" applyAlignment="1" applyProtection="1">
      <alignment horizontal="right" vertical="center"/>
    </xf>
    <xf numFmtId="43" fontId="7" fillId="0" borderId="6" xfId="4" applyFont="1" applyFill="1" applyBorder="1" applyAlignment="1" applyProtection="1">
      <alignment horizontal="right" vertical="center"/>
    </xf>
    <xf numFmtId="0" fontId="18" fillId="0" borderId="7" xfId="0" applyFont="1" applyBorder="1" applyAlignment="1">
      <alignment horizontal="right" vertical="center"/>
    </xf>
    <xf numFmtId="9" fontId="5" fillId="5" borderId="1" xfId="2" applyFont="1" applyFill="1" applyBorder="1" applyAlignment="1" applyProtection="1">
      <alignment horizontal="right" vertical="center"/>
    </xf>
    <xf numFmtId="43" fontId="5" fillId="5" borderId="6" xfId="4" applyFont="1" applyFill="1" applyBorder="1" applyAlignment="1" applyProtection="1">
      <alignment horizontal="right" vertical="center"/>
    </xf>
    <xf numFmtId="0" fontId="5" fillId="5" borderId="7" xfId="0" applyFont="1" applyFill="1" applyBorder="1" applyAlignment="1">
      <alignment horizontal="left" vertical="center" indent="2"/>
    </xf>
    <xf numFmtId="0" fontId="18" fillId="5" borderId="7" xfId="0" applyFont="1" applyFill="1" applyBorder="1" applyAlignment="1">
      <alignment horizontal="right" vertical="center"/>
    </xf>
    <xf numFmtId="0" fontId="19" fillId="8" borderId="7" xfId="0" quotePrefix="1" applyFont="1" applyFill="1" applyBorder="1" applyAlignment="1">
      <alignment horizontal="left" vertical="center" indent="4"/>
    </xf>
    <xf numFmtId="8" fontId="5" fillId="0" borderId="8" xfId="4" applyNumberFormat="1" applyFont="1" applyFill="1" applyBorder="1" applyAlignment="1" applyProtection="1">
      <alignment horizontal="right" vertical="center"/>
    </xf>
    <xf numFmtId="43" fontId="5" fillId="0" borderId="8" xfId="4" applyFont="1" applyFill="1" applyBorder="1" applyAlignment="1" applyProtection="1">
      <alignment horizontal="right" vertical="center"/>
    </xf>
    <xf numFmtId="0" fontId="5" fillId="5" borderId="7" xfId="0" applyFont="1" applyFill="1" applyBorder="1" applyAlignment="1">
      <alignment horizontal="left" vertical="center" indent="4"/>
    </xf>
    <xf numFmtId="0" fontId="14" fillId="5" borderId="7" xfId="0" applyFont="1" applyFill="1" applyBorder="1" applyAlignment="1">
      <alignment horizontal="left" vertical="center" indent="2"/>
    </xf>
    <xf numFmtId="9" fontId="5" fillId="6" borderId="1" xfId="2" applyFont="1" applyFill="1" applyBorder="1" applyAlignment="1" applyProtection="1">
      <alignment horizontal="right" vertical="center"/>
    </xf>
    <xf numFmtId="165" fontId="20" fillId="0" borderId="1" xfId="4" applyNumberFormat="1" applyFont="1" applyFill="1" applyBorder="1" applyAlignment="1" applyProtection="1">
      <alignment horizontal="right" vertical="center"/>
    </xf>
    <xf numFmtId="9" fontId="7" fillId="0" borderId="20" xfId="2" applyFont="1" applyFill="1" applyBorder="1" applyAlignment="1" applyProtection="1">
      <alignment horizontal="right" vertical="center"/>
    </xf>
    <xf numFmtId="170" fontId="5" fillId="0" borderId="6" xfId="4" applyNumberFormat="1" applyFont="1" applyFill="1" applyBorder="1" applyAlignment="1" applyProtection="1">
      <alignment horizontal="right" vertical="center"/>
    </xf>
    <xf numFmtId="9" fontId="5" fillId="0" borderId="20" xfId="2" applyFont="1" applyFill="1" applyBorder="1" applyAlignment="1" applyProtection="1">
      <alignment horizontal="right" vertical="center"/>
    </xf>
    <xf numFmtId="171" fontId="5" fillId="0" borderId="6" xfId="4" applyNumberFormat="1" applyFont="1" applyFill="1" applyBorder="1" applyAlignment="1" applyProtection="1">
      <alignment horizontal="right" vertical="center"/>
    </xf>
    <xf numFmtId="0" fontId="14" fillId="0" borderId="7" xfId="0" applyFont="1" applyBorder="1" applyAlignment="1">
      <alignment horizontal="left" vertical="center" indent="6"/>
    </xf>
    <xf numFmtId="0" fontId="14" fillId="5" borderId="7" xfId="0" applyFont="1" applyFill="1" applyBorder="1" applyAlignment="1">
      <alignment horizontal="left" vertical="center" indent="4"/>
    </xf>
    <xf numFmtId="9" fontId="7" fillId="6" borderId="21" xfId="2" applyFont="1" applyFill="1" applyBorder="1" applyAlignment="1" applyProtection="1">
      <alignment horizontal="right" vertical="center"/>
    </xf>
    <xf numFmtId="43" fontId="7" fillId="6" borderId="17" xfId="4" applyFont="1" applyFill="1" applyBorder="1" applyAlignment="1" applyProtection="1">
      <alignment horizontal="right" vertical="center"/>
    </xf>
    <xf numFmtId="0" fontId="10" fillId="6" borderId="18" xfId="0" applyFont="1" applyFill="1" applyBorder="1" applyAlignment="1">
      <alignment horizontal="left" vertical="center"/>
    </xf>
    <xf numFmtId="1" fontId="21" fillId="0" borderId="0" xfId="7" applyNumberFormat="1" applyFont="1" applyAlignment="1">
      <alignment horizontal="center" vertical="center" wrapText="1"/>
    </xf>
    <xf numFmtId="1" fontId="22" fillId="0" borderId="0" xfId="7" applyNumberFormat="1" applyFont="1" applyAlignment="1">
      <alignment horizontal="center" vertical="center" wrapText="1"/>
    </xf>
    <xf numFmtId="0" fontId="10" fillId="4" borderId="0" xfId="7" applyFont="1" applyFill="1" applyAlignment="1">
      <alignment horizontal="center" vertical="center"/>
    </xf>
    <xf numFmtId="1" fontId="21" fillId="9" borderId="22" xfId="7" applyNumberFormat="1" applyFont="1" applyFill="1" applyBorder="1" applyAlignment="1">
      <alignment horizontal="center" vertical="center" wrapText="1"/>
    </xf>
    <xf numFmtId="1" fontId="22" fillId="9" borderId="22" xfId="7" applyNumberFormat="1" applyFont="1" applyFill="1" applyBorder="1" applyAlignment="1">
      <alignment horizontal="center" vertical="center" wrapText="1"/>
    </xf>
    <xf numFmtId="0" fontId="22" fillId="9" borderId="22" xfId="7" applyFont="1" applyFill="1" applyBorder="1" applyAlignment="1">
      <alignment horizontal="center" vertical="center"/>
    </xf>
    <xf numFmtId="0" fontId="17" fillId="0" borderId="0" xfId="7" applyFont="1"/>
    <xf numFmtId="1" fontId="23" fillId="0" borderId="0" xfId="7" applyNumberFormat="1" applyFont="1" applyAlignment="1">
      <alignment horizontal="center"/>
    </xf>
    <xf numFmtId="1" fontId="24" fillId="0" borderId="0" xfId="7" applyNumberFormat="1" applyFont="1" applyAlignment="1">
      <alignment horizontal="center"/>
    </xf>
    <xf numFmtId="1" fontId="25" fillId="0" borderId="0" xfId="7" applyNumberFormat="1" applyFont="1" applyAlignment="1">
      <alignment horizontal="center"/>
    </xf>
    <xf numFmtId="0" fontId="26" fillId="0" borderId="0" xfId="0" applyFont="1"/>
    <xf numFmtId="1" fontId="10" fillId="10" borderId="0" xfId="7" applyNumberFormat="1" applyFont="1" applyFill="1" applyAlignment="1">
      <alignment horizontal="center"/>
    </xf>
    <xf numFmtId="1" fontId="27" fillId="11" borderId="0" xfId="7" applyNumberFormat="1" applyFont="1" applyFill="1" applyAlignment="1">
      <alignment horizontal="center"/>
    </xf>
    <xf numFmtId="0" fontId="17" fillId="10" borderId="0" xfId="7" applyFont="1" applyFill="1"/>
    <xf numFmtId="1" fontId="28" fillId="10" borderId="0" xfId="7" applyNumberFormat="1" applyFont="1" applyFill="1" applyAlignment="1">
      <alignment horizontal="center"/>
    </xf>
    <xf numFmtId="1" fontId="29" fillId="10" borderId="0" xfId="0" applyNumberFormat="1" applyFont="1" applyFill="1" applyAlignment="1">
      <alignment horizontal="center"/>
    </xf>
  </cellXfs>
  <cellStyles count="8">
    <cellStyle name="Millares" xfId="1" builtinId="3"/>
    <cellStyle name="Millares 2" xfId="4" xr:uid="{A2D75A9C-8F2D-42F2-9C21-F026C086B510}"/>
    <cellStyle name="Millares 2 2" xfId="6" xr:uid="{4BA938CD-87D1-4C53-82E2-87A092B62D95}"/>
    <cellStyle name="Moneda 2" xfId="5" xr:uid="{EB0FAA76-2E20-4D80-9541-FAD215D41BDC}"/>
    <cellStyle name="Normal" xfId="0" builtinId="0"/>
    <cellStyle name="Normal 2_ALDAMA 03 MAR 2009 MODIF_PIGOO CONCENTRADOPROG_INDIC_GESTION ORG  OP rvh" xfId="3" xr:uid="{639DEB55-D45F-4345-9C17-C0CFCB1D0321}"/>
    <cellStyle name="Normal_FORMATO DEL PPTO. 2002  SEPT. 4" xfId="7" xr:uid="{B5DE325B-E3ED-442D-A611-356001022BE6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412750</xdr:colOff>
      <xdr:row>0</xdr:row>
      <xdr:rowOff>1</xdr:rowOff>
    </xdr:from>
    <xdr:ext cx="1141943" cy="1005152"/>
    <xdr:pic>
      <xdr:nvPicPr>
        <xdr:cNvPr id="2" name="3 Imagen">
          <a:extLst>
            <a:ext uri="{FF2B5EF4-FFF2-40B4-BE49-F238E27FC236}">
              <a16:creationId xmlns:a16="http://schemas.microsoft.com/office/drawing/2014/main" id="{55C40BBB-3B73-41AF-BCDE-2F91BF0C6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9950" y="1"/>
          <a:ext cx="1141943" cy="1005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3" name="4 Imagen">
          <a:extLst>
            <a:ext uri="{FF2B5EF4-FFF2-40B4-BE49-F238E27FC236}">
              <a16:creationId xmlns:a16="http://schemas.microsoft.com/office/drawing/2014/main" id="{2197D312-6764-4452-B37E-59549A3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4" name="3 Imagen">
          <a:extLst>
            <a:ext uri="{FF2B5EF4-FFF2-40B4-BE49-F238E27FC236}">
              <a16:creationId xmlns:a16="http://schemas.microsoft.com/office/drawing/2014/main" id="{A06EBD12-5348-440A-8831-82EB38DCC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1%20JMAS%20CHIHUAHUAvint.RESUMEN%20PARA%20CAPTURA%20SIST%20CONTA%20ING%20VILLALBA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MAS%20ALDAMA%20CONTABILIDAD/2022/ESTADOS%20FINANCIEROS%202022/12%20DIC%202022/12%20DIC%202022%20EDOS%20FIN/Plant%20Indic%20y%20PIGOO%20DIC%20OK%202022%20JMAS%20ALD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arametros"/>
      <sheetName val="Inflación"/>
      <sheetName val="Efic. Global "/>
      <sheetName val="C.N.A."/>
      <sheetName val="Evaluacion"/>
      <sheetName val="Total ctas."/>
      <sheetName val="Concen."/>
      <sheetName val="Edo. Activ."/>
      <sheetName val="Fac-cob"/>
      <sheetName val="RESUMEN GASTOS"/>
      <sheetName val="Gastos de Admin."/>
      <sheetName val="Gastos de Comer."/>
      <sheetName val="Gastos de Oper."/>
      <sheetName val="Gastos de Saneam."/>
      <sheetName val="Inversiones"/>
      <sheetName val="Creditos"/>
      <sheetName val="Ingresos"/>
      <sheetName val="Serv. Med. Dom"/>
      <sheetName val="Tarifas serv med Dom"/>
      <sheetName val="Serv. Med. Com"/>
      <sheetName val="Tarifas serv med Com"/>
      <sheetName val="Serv. Med. ind"/>
      <sheetName val="Tarifas serv med ind"/>
      <sheetName val="Serv. Med. Esc"/>
      <sheetName val="Serv. Med. Pub"/>
      <sheetName val="Cuota fija"/>
      <sheetName val="Estructura"/>
      <sheetName val="Sueldo(Pl-Ad)"/>
      <sheetName val="Sueldo(Ev-Ad)"/>
      <sheetName val="Sueldo(Pl-Co)"/>
      <sheetName val="Sueldo(Ev-Co)"/>
      <sheetName val="Sueldo(Pl-Op)"/>
      <sheetName val="Sueldo(Ev-Op)"/>
      <sheetName val="Sueldo(Pl-Pt)"/>
      <sheetName val="Sueldo(Ev-Pt)"/>
      <sheetName val="Sueldo(Pensi)"/>
      <sheetName val="C.F.E."/>
      <sheetName val="Personal"/>
      <sheetName val="Activos U"/>
      <sheetName val="Activos 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4">
          <cell r="H234">
            <v>152009798.40846276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graficos"/>
      <sheetName val="INSTRUCTIV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C4D4-551F-4C6F-9F99-9F4F8FA4D08B}">
  <sheetPr>
    <tabColor rgb="FFFFFF00"/>
  </sheetPr>
  <dimension ref="A1:S209"/>
  <sheetViews>
    <sheetView tabSelected="1" zoomScale="99" zoomScaleNormal="99" workbookViewId="0">
      <pane xSplit="1" ySplit="10" topLeftCell="L11" activePane="bottomRight" state="frozen"/>
      <selection pane="topRight" activeCell="B1" sqref="B1"/>
      <selection pane="bottomLeft" activeCell="A11" sqref="A11"/>
      <selection pane="bottomRight" activeCell="L14" sqref="L14"/>
    </sheetView>
  </sheetViews>
  <sheetFormatPr baseColWidth="10" defaultRowHeight="14.4" x14ac:dyDescent="0.3"/>
  <cols>
    <col min="1" max="1" width="66.5546875" style="2" customWidth="1"/>
    <col min="2" max="2" width="20.5546875" style="3" bestFit="1" customWidth="1"/>
    <col min="3" max="4" width="20" style="2" bestFit="1" customWidth="1"/>
    <col min="5" max="5" width="19.88671875" style="2" customWidth="1"/>
    <col min="6" max="8" width="20" style="2" bestFit="1" customWidth="1"/>
    <col min="9" max="9" width="20.5546875" style="2" customWidth="1"/>
    <col min="10" max="11" width="20" style="2" bestFit="1" customWidth="1"/>
    <col min="12" max="12" width="20.5546875" style="2" customWidth="1"/>
    <col min="13" max="13" width="20" style="2" bestFit="1" customWidth="1"/>
    <col min="14" max="14" width="20.5546875" style="2" bestFit="1" customWidth="1"/>
    <col min="15" max="15" width="19.44140625" style="2" bestFit="1" customWidth="1"/>
    <col min="16" max="16" width="27.33203125" style="2" customWidth="1"/>
    <col min="17" max="17" width="18.88671875" style="2" customWidth="1"/>
    <col min="18" max="18" width="9.33203125" style="1" customWidth="1"/>
    <col min="19" max="19" width="4.109375" customWidth="1"/>
    <col min="20" max="20" width="22" customWidth="1"/>
    <col min="21" max="21" width="21.33203125" customWidth="1"/>
    <col min="22" max="22" width="11.44140625" customWidth="1"/>
  </cols>
  <sheetData>
    <row r="1" spans="1:18" ht="21" x14ac:dyDescent="0.4">
      <c r="A1" s="131" t="s">
        <v>175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x14ac:dyDescent="0.3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18" ht="17.399999999999999" x14ac:dyDescent="0.3">
      <c r="A3" s="130" t="s">
        <v>174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5.6" x14ac:dyDescent="0.3">
      <c r="A4" s="127" t="s">
        <v>173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x14ac:dyDescent="0.3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8.25" customHeight="1" x14ac:dyDescent="0.3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8.25" customHeigh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5.6" x14ac:dyDescent="0.3">
      <c r="A8" s="126"/>
      <c r="B8" s="125"/>
      <c r="C8" s="124">
        <v>2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3"/>
      <c r="O8" s="123"/>
      <c r="P8" s="123"/>
      <c r="Q8" s="123"/>
      <c r="R8" s="122"/>
    </row>
    <row r="9" spans="1:18" ht="31.2" x14ac:dyDescent="0.3">
      <c r="A9" s="121" t="s">
        <v>172</v>
      </c>
      <c r="B9" s="120" t="s">
        <v>171</v>
      </c>
      <c r="C9" s="120" t="s">
        <v>170</v>
      </c>
      <c r="D9" s="120" t="s">
        <v>169</v>
      </c>
      <c r="E9" s="120" t="s">
        <v>168</v>
      </c>
      <c r="F9" s="120" t="s">
        <v>167</v>
      </c>
      <c r="G9" s="120" t="s">
        <v>166</v>
      </c>
      <c r="H9" s="120" t="s">
        <v>165</v>
      </c>
      <c r="I9" s="120" t="s">
        <v>164</v>
      </c>
      <c r="J9" s="120" t="s">
        <v>163</v>
      </c>
      <c r="K9" s="120" t="s">
        <v>162</v>
      </c>
      <c r="L9" s="120" t="s">
        <v>161</v>
      </c>
      <c r="M9" s="120" t="s">
        <v>160</v>
      </c>
      <c r="N9" s="120" t="s">
        <v>159</v>
      </c>
      <c r="O9" s="120" t="s">
        <v>158</v>
      </c>
      <c r="P9" s="120" t="s">
        <v>157</v>
      </c>
      <c r="Q9" s="120" t="s">
        <v>156</v>
      </c>
      <c r="R9" s="119" t="s">
        <v>155</v>
      </c>
    </row>
    <row r="10" spans="1:18" ht="15.6" x14ac:dyDescent="0.3">
      <c r="A10" s="118" t="s">
        <v>154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6"/>
    </row>
    <row r="11" spans="1:18" ht="15.6" x14ac:dyDescent="0.3">
      <c r="A11" s="115" t="s">
        <v>153</v>
      </c>
      <c r="B11" s="114">
        <f>+B12+B21+B22</f>
        <v>2648539.17</v>
      </c>
      <c r="C11" s="114">
        <f>+C12+C21+C22</f>
        <v>1716834.03</v>
      </c>
      <c r="D11" s="114">
        <f>+D12+D21+D22</f>
        <v>2518987.4000000004</v>
      </c>
      <c r="E11" s="114">
        <f>+E12+E21+E22</f>
        <v>2060216.01</v>
      </c>
      <c r="F11" s="114">
        <f>+F12+F21+F22</f>
        <v>1959341.04</v>
      </c>
      <c r="G11" s="114">
        <f>+G12+G21+G22</f>
        <v>1978657.41</v>
      </c>
      <c r="H11" s="114">
        <f>+H12+H21+H22</f>
        <v>1893203.74</v>
      </c>
      <c r="I11" s="114">
        <f>+I12+I21+I22</f>
        <v>1920946.7900000003</v>
      </c>
      <c r="J11" s="114">
        <f>+J12+J21+J22</f>
        <v>1823274.74</v>
      </c>
      <c r="K11" s="114">
        <f>+K12+K21+K22</f>
        <v>1757131.2600000002</v>
      </c>
      <c r="L11" s="114">
        <f>+L12+L21+L22</f>
        <v>2333695.6799999997</v>
      </c>
      <c r="M11" s="114">
        <f>+M12+M21+M22</f>
        <v>1842850.93</v>
      </c>
      <c r="N11" s="114">
        <f>+N12+N21+N22</f>
        <v>24453678.200000003</v>
      </c>
      <c r="O11" s="114">
        <f>+O12+O21+O22</f>
        <v>18963624.34</v>
      </c>
      <c r="P11" s="114">
        <f>+P12+P21+P22</f>
        <v>18963624.34</v>
      </c>
      <c r="Q11" s="114">
        <f>+N11-P11</f>
        <v>5490053.8600000031</v>
      </c>
      <c r="R11" s="113">
        <f>+Q11/P11</f>
        <v>0.28950446188811202</v>
      </c>
    </row>
    <row r="12" spans="1:18" ht="15" x14ac:dyDescent="0.3">
      <c r="A12" s="104" t="s">
        <v>152</v>
      </c>
      <c r="B12" s="97">
        <f>B13+B16+B17-B18-B19-B20</f>
        <v>2648539.17</v>
      </c>
      <c r="C12" s="97">
        <f>C13+C16+C17-C18-C19-C20</f>
        <v>1716834.03</v>
      </c>
      <c r="D12" s="97">
        <f>D13+D16+D17-D18-D19-D20</f>
        <v>1924637.9000000001</v>
      </c>
      <c r="E12" s="97">
        <f>E13+E16+E17-E18-E19-E20</f>
        <v>2060216.01</v>
      </c>
      <c r="F12" s="97">
        <f>F13+F16+F17-F18-F19-F20</f>
        <v>1959341.04</v>
      </c>
      <c r="G12" s="97">
        <f>G13+G16+G17-G18-G19-G20</f>
        <v>1978657.41</v>
      </c>
      <c r="H12" s="97">
        <f>H13+H16+H17-H18-H19-H20</f>
        <v>1893203.74</v>
      </c>
      <c r="I12" s="97">
        <f>I13+I16+I17-I18-I19-I20</f>
        <v>1920946.7900000003</v>
      </c>
      <c r="J12" s="97">
        <f>J13+J16+J17-J18-J19-J20</f>
        <v>1823274.74</v>
      </c>
      <c r="K12" s="97">
        <f>K13+K16+K17-K18-K19-K20</f>
        <v>1757131.2600000002</v>
      </c>
      <c r="L12" s="97">
        <f>L13+L16+L17-L18-L19-L20</f>
        <v>2333695.6799999997</v>
      </c>
      <c r="M12" s="97">
        <f>M13+M16+M17-M18-M19-M20</f>
        <v>1842850.93</v>
      </c>
      <c r="N12" s="97">
        <f>N13+N16+N17-N18-N19-N20</f>
        <v>23859328.700000003</v>
      </c>
      <c r="O12" s="97">
        <f>O13+O16+O17-O18-O19-O20</f>
        <v>18963624.34</v>
      </c>
      <c r="P12" s="97">
        <f>P13+P16+P17-P18-P19-P20</f>
        <v>18963624.34</v>
      </c>
      <c r="Q12" s="97">
        <f>+N12-P12</f>
        <v>4895704.3600000031</v>
      </c>
      <c r="R12" s="96">
        <f>+Q12/P12</f>
        <v>0.25816290558305816</v>
      </c>
    </row>
    <row r="13" spans="1:18" ht="15" x14ac:dyDescent="0.3">
      <c r="A13" s="112" t="s">
        <v>151</v>
      </c>
      <c r="B13" s="97">
        <f>+B14+B15</f>
        <v>2517598.7599999998</v>
      </c>
      <c r="C13" s="97">
        <f>+C14+C15</f>
        <v>1512405.76</v>
      </c>
      <c r="D13" s="97">
        <f>+D14+D15</f>
        <v>1688396.21</v>
      </c>
      <c r="E13" s="97">
        <f>+E14+E15</f>
        <v>1901901.68</v>
      </c>
      <c r="F13" s="97">
        <f>+F14+F15</f>
        <v>1647985.93</v>
      </c>
      <c r="G13" s="97">
        <f>+G14+G15</f>
        <v>1726209.62</v>
      </c>
      <c r="H13" s="97">
        <f>+H14+H15</f>
        <v>1692671.01</v>
      </c>
      <c r="I13" s="97">
        <f>+I14+I15</f>
        <v>1740735.84</v>
      </c>
      <c r="J13" s="97">
        <f>+J14+J15</f>
        <v>1553022.29</v>
      </c>
      <c r="K13" s="97">
        <f>+K14+K15</f>
        <v>1476044.61</v>
      </c>
      <c r="L13" s="97">
        <f>+L14+L15</f>
        <v>2175276.19</v>
      </c>
      <c r="M13" s="97">
        <f>+M14+M15</f>
        <v>1680302.02</v>
      </c>
      <c r="N13" s="97">
        <f>+N14+N15</f>
        <v>21312549.920000002</v>
      </c>
      <c r="O13" s="97">
        <f>+O14+O15</f>
        <v>15546653.34</v>
      </c>
      <c r="P13" s="97">
        <f>+P14+P15</f>
        <v>15546653.34</v>
      </c>
      <c r="Q13" s="97">
        <f>+N13-P13</f>
        <v>5765896.5800000019</v>
      </c>
      <c r="R13" s="96">
        <f>+Q13/P13</f>
        <v>0.37087702760856711</v>
      </c>
    </row>
    <row r="14" spans="1:18" x14ac:dyDescent="0.3">
      <c r="A14" s="91" t="s">
        <v>150</v>
      </c>
      <c r="B14" s="46">
        <v>2263622.7799999998</v>
      </c>
      <c r="C14" s="46">
        <v>1359644.32</v>
      </c>
      <c r="D14" s="46">
        <v>1555962.09</v>
      </c>
      <c r="E14" s="46">
        <v>1691479.6</v>
      </c>
      <c r="F14" s="46">
        <v>1533356.94</v>
      </c>
      <c r="G14" s="46">
        <v>1562301.02</v>
      </c>
      <c r="H14" s="46">
        <v>1598363.65</v>
      </c>
      <c r="I14" s="46">
        <v>1631864.9</v>
      </c>
      <c r="J14" s="46">
        <v>1458100.81</v>
      </c>
      <c r="K14" s="46">
        <v>1405093.07</v>
      </c>
      <c r="L14" s="46">
        <v>1482809.63</v>
      </c>
      <c r="M14" s="46">
        <v>1458633.05</v>
      </c>
      <c r="N14" s="46">
        <f>SUM(B14:M14)</f>
        <v>19001231.859999999</v>
      </c>
      <c r="O14" s="46">
        <v>14062160.34</v>
      </c>
      <c r="P14" s="46">
        <f>+O14/12*$R$23</f>
        <v>14062160.34</v>
      </c>
      <c r="Q14" s="46">
        <f>+N14-P14</f>
        <v>4939071.5199999996</v>
      </c>
      <c r="R14" s="4">
        <f>+Q14/P14</f>
        <v>0.35123134714591087</v>
      </c>
    </row>
    <row r="15" spans="1:18" x14ac:dyDescent="0.3">
      <c r="A15" s="91" t="s">
        <v>149</v>
      </c>
      <c r="B15" s="46">
        <v>253975.97999999998</v>
      </c>
      <c r="C15" s="46">
        <v>152761.44</v>
      </c>
      <c r="D15" s="46">
        <v>132434.12</v>
      </c>
      <c r="E15" s="46">
        <v>210422.07999999984</v>
      </c>
      <c r="F15" s="46">
        <v>114628.99</v>
      </c>
      <c r="G15" s="46">
        <v>163908.60000000009</v>
      </c>
      <c r="H15" s="46">
        <v>94307.36</v>
      </c>
      <c r="I15" s="46">
        <v>108870.94000000018</v>
      </c>
      <c r="J15" s="46">
        <v>94921.48</v>
      </c>
      <c r="K15" s="46">
        <v>70951.540000000037</v>
      </c>
      <c r="L15" s="46">
        <v>692466.56</v>
      </c>
      <c r="M15" s="46">
        <v>221668.96999999997</v>
      </c>
      <c r="N15" s="46">
        <f>SUM(B15:M15)</f>
        <v>2311318.0600000005</v>
      </c>
      <c r="O15" s="46">
        <v>1484493</v>
      </c>
      <c r="P15" s="46">
        <f>+O15/12*$R$23</f>
        <v>1484493</v>
      </c>
      <c r="Q15" s="46">
        <f>+N15-P15</f>
        <v>826825.06000000052</v>
      </c>
      <c r="R15" s="4">
        <f>+Q15/P15</f>
        <v>0.55697471123137698</v>
      </c>
    </row>
    <row r="16" spans="1:18" ht="15" x14ac:dyDescent="0.3">
      <c r="A16" s="111" t="s">
        <v>148</v>
      </c>
      <c r="B16" s="46">
        <v>2822.23</v>
      </c>
      <c r="C16" s="46">
        <v>7015.78</v>
      </c>
      <c r="D16" s="46">
        <v>8943.84</v>
      </c>
      <c r="E16" s="46">
        <v>14344.55</v>
      </c>
      <c r="F16" s="46">
        <v>21569.82</v>
      </c>
      <c r="G16" s="46">
        <v>22379.63</v>
      </c>
      <c r="H16" s="46">
        <v>31121.41</v>
      </c>
      <c r="I16" s="46">
        <v>38425.61</v>
      </c>
      <c r="J16" s="46">
        <v>35053.47</v>
      </c>
      <c r="K16" s="46">
        <v>41276.76</v>
      </c>
      <c r="L16" s="46">
        <v>40636.46</v>
      </c>
      <c r="M16" s="46">
        <v>43845.760000000002</v>
      </c>
      <c r="N16" s="46">
        <f>SUM(B16:M16)</f>
        <v>307435.32</v>
      </c>
      <c r="O16" s="46">
        <v>188354</v>
      </c>
      <c r="P16" s="46">
        <f>+O16/12*$R$23</f>
        <v>188354</v>
      </c>
      <c r="Q16" s="46">
        <f>+N16-P16</f>
        <v>119081.32</v>
      </c>
      <c r="R16" s="4">
        <f>+Q16/P16</f>
        <v>0.63222081824649334</v>
      </c>
    </row>
    <row r="17" spans="1:18" ht="15" x14ac:dyDescent="0.3">
      <c r="A17" s="111" t="s">
        <v>147</v>
      </c>
      <c r="B17" s="46">
        <v>128118.18</v>
      </c>
      <c r="C17" s="46">
        <v>197412.49</v>
      </c>
      <c r="D17" s="46">
        <v>227297.85</v>
      </c>
      <c r="E17" s="46">
        <v>143969.78</v>
      </c>
      <c r="F17" s="46">
        <v>289785.28999999998</v>
      </c>
      <c r="G17" s="46">
        <v>230068.16</v>
      </c>
      <c r="H17" s="46">
        <v>169411.32</v>
      </c>
      <c r="I17" s="46">
        <v>141785.34</v>
      </c>
      <c r="J17" s="46">
        <v>235198.98</v>
      </c>
      <c r="K17" s="46">
        <v>239809.89</v>
      </c>
      <c r="L17" s="46">
        <v>117783.03</v>
      </c>
      <c r="M17" s="46">
        <v>118703.15</v>
      </c>
      <c r="N17" s="46">
        <f>SUM(B17:M17)</f>
        <v>2239343.46</v>
      </c>
      <c r="O17" s="46">
        <v>3228617</v>
      </c>
      <c r="P17" s="46">
        <f>+O17/12*$R$23</f>
        <v>3228617</v>
      </c>
      <c r="Q17" s="46">
        <f>+N17-P17</f>
        <v>-989273.54</v>
      </c>
      <c r="R17" s="4">
        <f>+Q17/P17</f>
        <v>-0.30640783344695266</v>
      </c>
    </row>
    <row r="18" spans="1:18" x14ac:dyDescent="0.3">
      <c r="A18" s="23" t="s">
        <v>146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f>SUM(B18:M18)</f>
        <v>0</v>
      </c>
      <c r="O18" s="110">
        <v>0</v>
      </c>
      <c r="P18" s="46">
        <f>+O18/12*$R$23</f>
        <v>0</v>
      </c>
      <c r="Q18" s="46">
        <f>+N18-P18</f>
        <v>0</v>
      </c>
      <c r="R18" s="4"/>
    </row>
    <row r="19" spans="1:18" x14ac:dyDescent="0.3">
      <c r="A19" s="23" t="s">
        <v>145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f>SUM(B19:M19)</f>
        <v>0</v>
      </c>
      <c r="O19" s="110">
        <v>0</v>
      </c>
      <c r="P19" s="46">
        <f>+O19/12*$R$23</f>
        <v>0</v>
      </c>
      <c r="Q19" s="46">
        <f>+N19-P19</f>
        <v>0</v>
      </c>
      <c r="R19" s="4"/>
    </row>
    <row r="20" spans="1:18" x14ac:dyDescent="0.3">
      <c r="A20" s="23" t="s">
        <v>144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f>SUM(B20:M20)</f>
        <v>0</v>
      </c>
      <c r="O20" s="110">
        <v>0</v>
      </c>
      <c r="P20" s="46">
        <f>+O20/12*$R$23</f>
        <v>0</v>
      </c>
      <c r="Q20" s="46">
        <f>+N20-P20</f>
        <v>0</v>
      </c>
      <c r="R20" s="4"/>
    </row>
    <row r="21" spans="1:18" x14ac:dyDescent="0.3">
      <c r="A21" s="45" t="s">
        <v>143</v>
      </c>
      <c r="B21" s="110">
        <v>0</v>
      </c>
      <c r="C21" s="110">
        <v>0</v>
      </c>
      <c r="D21" s="110">
        <v>594349.5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f>SUM(B21:M21)</f>
        <v>594349.5</v>
      </c>
      <c r="O21" s="110">
        <v>0</v>
      </c>
      <c r="P21" s="46">
        <f>+O21/12*$R$23</f>
        <v>0</v>
      </c>
      <c r="Q21" s="46">
        <f>+N21-P21</f>
        <v>594349.5</v>
      </c>
      <c r="R21" s="109"/>
    </row>
    <row r="22" spans="1:18" x14ac:dyDescent="0.3">
      <c r="A22" s="45" t="s">
        <v>142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f>SUM(B22:M22)</f>
        <v>0</v>
      </c>
      <c r="O22" s="108">
        <v>0</v>
      </c>
      <c r="P22" s="108">
        <f>+O22/12*$R$23</f>
        <v>0</v>
      </c>
      <c r="Q22" s="108">
        <f>+N22-P22</f>
        <v>0</v>
      </c>
      <c r="R22" s="107"/>
    </row>
    <row r="23" spans="1:18" x14ac:dyDescent="0.3">
      <c r="A23" s="45"/>
      <c r="B23" s="46"/>
      <c r="C23" s="46"/>
      <c r="D23" s="46"/>
      <c r="E23" s="46"/>
      <c r="F23" s="46"/>
      <c r="G23" s="46"/>
      <c r="H23" s="92"/>
      <c r="I23" s="46"/>
      <c r="J23" s="46"/>
      <c r="K23" s="46"/>
      <c r="L23" s="46"/>
      <c r="M23" s="46"/>
      <c r="N23" s="46"/>
      <c r="O23" s="46"/>
      <c r="P23" s="46"/>
      <c r="Q23" s="46"/>
      <c r="R23" s="106">
        <f>COUNTA(B14:M14)</f>
        <v>12</v>
      </c>
    </row>
    <row r="24" spans="1:18" ht="15.6" x14ac:dyDescent="0.3">
      <c r="A24" s="50" t="s">
        <v>141</v>
      </c>
      <c r="B24" s="49">
        <f>+B25+B38+B39</f>
        <v>1480022.94</v>
      </c>
      <c r="C24" s="49">
        <f>+C25+C38+C39</f>
        <v>1425102.4000000001</v>
      </c>
      <c r="D24" s="49">
        <f>+D25+D38+D39</f>
        <v>1609918.01</v>
      </c>
      <c r="E24" s="49">
        <f>+E25+E38+E39</f>
        <v>1627657.47</v>
      </c>
      <c r="F24" s="49">
        <f>+F25+F38+F39</f>
        <v>1733381.26</v>
      </c>
      <c r="G24" s="49">
        <f>+G25+G38+G39</f>
        <v>1612857.72</v>
      </c>
      <c r="H24" s="49">
        <f>+H25+H38+H39</f>
        <v>1605759.05</v>
      </c>
      <c r="I24" s="49">
        <f>+I25+I38+I39</f>
        <v>1737764.41</v>
      </c>
      <c r="J24" s="49">
        <f>+J25+J38+J39</f>
        <v>2059999.6800000002</v>
      </c>
      <c r="K24" s="49">
        <f>+K25+K38+K39</f>
        <v>1538950.1299999997</v>
      </c>
      <c r="L24" s="49">
        <f>+L25+L38+L39</f>
        <v>2276175.4700000002</v>
      </c>
      <c r="M24" s="49">
        <f>+M25+M38+M39</f>
        <v>1986187.4000000001</v>
      </c>
      <c r="N24" s="49">
        <f>+N25+N38+N39</f>
        <v>20693775.940000001</v>
      </c>
      <c r="O24" s="49">
        <f>+O25+O38+O39</f>
        <v>18963624.340000004</v>
      </c>
      <c r="P24" s="49">
        <f>+P25+P38+P39</f>
        <v>18963624.340000004</v>
      </c>
      <c r="Q24" s="49">
        <f>+N24-P24</f>
        <v>1730151.5999999978</v>
      </c>
      <c r="R24" s="105">
        <f>+Q24/P24</f>
        <v>9.1235281240547791E-2</v>
      </c>
    </row>
    <row r="25" spans="1:18" ht="15" x14ac:dyDescent="0.3">
      <c r="A25" s="104" t="s">
        <v>140</v>
      </c>
      <c r="B25" s="47">
        <f>+B26+B27+B28+B32+B35</f>
        <v>1407597.23</v>
      </c>
      <c r="C25" s="47">
        <f>+C26+C27+C28+C32+C35</f>
        <v>1425102.4000000001</v>
      </c>
      <c r="D25" s="47">
        <f>+D26+D27+D28+D32+D35</f>
        <v>1609918.01</v>
      </c>
      <c r="E25" s="47">
        <f>+E26+E27+E28+E32+E35</f>
        <v>1627657.47</v>
      </c>
      <c r="F25" s="47">
        <f>+F26+F27+F28+F32+F35</f>
        <v>1733381.26</v>
      </c>
      <c r="G25" s="47">
        <f>+G26+G27+G28+G32+G35</f>
        <v>1612857.72</v>
      </c>
      <c r="H25" s="47">
        <f>+H26+H27+H28+H32+H35</f>
        <v>1605759.05</v>
      </c>
      <c r="I25" s="47">
        <f>+I26+I27+I28+I32+I35</f>
        <v>1700561.63</v>
      </c>
      <c r="J25" s="47">
        <f>+J26+J27+J28+J32+J35</f>
        <v>2031841.57</v>
      </c>
      <c r="K25" s="47">
        <f>+K26+K27+K28+K32+K35</f>
        <v>1538950.1299999997</v>
      </c>
      <c r="L25" s="47">
        <f>+L26+L27+L28+L32+L35</f>
        <v>2210132.54</v>
      </c>
      <c r="M25" s="47">
        <f>+M26+M27+M28+M32+M35</f>
        <v>1958987.4000000001</v>
      </c>
      <c r="N25" s="47">
        <f>+N26+N27+N28+N32+N35</f>
        <v>20462746.41</v>
      </c>
      <c r="O25" s="47">
        <f>+O26+O27+O28+O32</f>
        <v>16510477.340000002</v>
      </c>
      <c r="P25" s="47">
        <f>+P26+P27+P28+P32</f>
        <v>16510477.340000002</v>
      </c>
      <c r="Q25" s="47">
        <f>+N25-P25</f>
        <v>3952269.0699999984</v>
      </c>
      <c r="R25" s="96">
        <f>+Q25/P25</f>
        <v>0.2393794551551105</v>
      </c>
    </row>
    <row r="26" spans="1:18" ht="15" x14ac:dyDescent="0.3">
      <c r="A26" s="59" t="s">
        <v>139</v>
      </c>
      <c r="B26" s="46">
        <v>545164.11</v>
      </c>
      <c r="C26" s="46">
        <v>483621.96</v>
      </c>
      <c r="D26" s="46">
        <v>737888.14</v>
      </c>
      <c r="E26" s="46">
        <v>776221.9</v>
      </c>
      <c r="F26" s="46">
        <v>612498.41</v>
      </c>
      <c r="G26" s="46">
        <v>551641.31000000006</v>
      </c>
      <c r="H26" s="92">
        <v>555347.85</v>
      </c>
      <c r="I26" s="92">
        <v>736355.37</v>
      </c>
      <c r="J26" s="92">
        <v>800977.59</v>
      </c>
      <c r="K26" s="46">
        <v>581499.65</v>
      </c>
      <c r="L26" s="46">
        <v>569598.62</v>
      </c>
      <c r="M26" s="46">
        <v>458697.8</v>
      </c>
      <c r="N26" s="46">
        <f>SUM(B26:M26)</f>
        <v>7409512.71</v>
      </c>
      <c r="O26" s="46">
        <v>6627684.6500000004</v>
      </c>
      <c r="P26" s="46">
        <f>+O26/12*$R$23</f>
        <v>6627684.6500000004</v>
      </c>
      <c r="Q26" s="46">
        <f>+N26-P26</f>
        <v>781828.05999999959</v>
      </c>
      <c r="R26" s="4">
        <f>+Q26/P26</f>
        <v>0.11796398007560598</v>
      </c>
    </row>
    <row r="27" spans="1:18" x14ac:dyDescent="0.3">
      <c r="A27" s="23" t="s">
        <v>138</v>
      </c>
      <c r="B27" s="46">
        <v>286794.09999999998</v>
      </c>
      <c r="C27" s="46">
        <v>363345.86</v>
      </c>
      <c r="D27" s="46">
        <v>325331.81</v>
      </c>
      <c r="E27" s="46">
        <v>362376.12</v>
      </c>
      <c r="F27" s="46">
        <v>407609.5</v>
      </c>
      <c r="G27" s="46">
        <v>370906.75</v>
      </c>
      <c r="H27" s="92">
        <v>299274.28999999998</v>
      </c>
      <c r="I27" s="92">
        <v>335079.08</v>
      </c>
      <c r="J27" s="92">
        <v>484578.74</v>
      </c>
      <c r="K27" s="46">
        <v>515692.79999999999</v>
      </c>
      <c r="L27" s="46">
        <v>327982.06</v>
      </c>
      <c r="M27" s="46">
        <v>433868.77</v>
      </c>
      <c r="N27" s="46">
        <f>SUM(B27:M27)</f>
        <v>4512839.88</v>
      </c>
      <c r="O27" s="46">
        <v>3417400.06</v>
      </c>
      <c r="P27" s="46">
        <f>+O27/12*$R$23</f>
        <v>3417400.0599999996</v>
      </c>
      <c r="Q27" s="46">
        <f>+N27-P27</f>
        <v>1095439.8200000003</v>
      </c>
      <c r="R27" s="4">
        <f>+Q27/P27</f>
        <v>0.32054772656614294</v>
      </c>
    </row>
    <row r="28" spans="1:18" x14ac:dyDescent="0.3">
      <c r="A28" s="103" t="s">
        <v>137</v>
      </c>
      <c r="B28" s="97">
        <f>+B29+B30+B31</f>
        <v>377084.22</v>
      </c>
      <c r="C28" s="97">
        <f>+C29+C30+C31</f>
        <v>395402.65999999992</v>
      </c>
      <c r="D28" s="97">
        <f>+D29+D30+D31</f>
        <v>387016.87</v>
      </c>
      <c r="E28" s="97">
        <f>+E29+E30+E31</f>
        <v>302646.40999999997</v>
      </c>
      <c r="F28" s="97">
        <f>+F29+F30+F31</f>
        <v>543601.49</v>
      </c>
      <c r="G28" s="97">
        <f>+G29+G30+G31</f>
        <v>504474.11</v>
      </c>
      <c r="H28" s="97">
        <f>+H29+H30+H31</f>
        <v>566616.51</v>
      </c>
      <c r="I28" s="97">
        <f>+I29+I30+I31</f>
        <v>465317.77</v>
      </c>
      <c r="J28" s="97">
        <f>+J29+J30+J31</f>
        <v>467880.03</v>
      </c>
      <c r="K28" s="97">
        <f>+K29+K30+K31</f>
        <v>221278.15</v>
      </c>
      <c r="L28" s="97">
        <f>+L29+L30+L31</f>
        <v>860865.81</v>
      </c>
      <c r="M28" s="97">
        <f>+M29+M30+M31</f>
        <v>791243.13</v>
      </c>
      <c r="N28" s="97">
        <f>+N29+N30+N31</f>
        <v>5883427.1600000001</v>
      </c>
      <c r="O28" s="97">
        <f>+O29+O30+O31</f>
        <v>5011585.66</v>
      </c>
      <c r="P28" s="97">
        <f>+P29+P30+P31</f>
        <v>5011585.66</v>
      </c>
      <c r="Q28" s="97">
        <f>+N28-P28</f>
        <v>871841.5</v>
      </c>
      <c r="R28" s="96">
        <f>+Q28/P28</f>
        <v>0.17396519966896065</v>
      </c>
    </row>
    <row r="29" spans="1:18" x14ac:dyDescent="0.3">
      <c r="A29" s="91" t="s">
        <v>136</v>
      </c>
      <c r="B29" s="46">
        <v>245557.08</v>
      </c>
      <c r="C29" s="46">
        <v>231481.9</v>
      </c>
      <c r="D29" s="46">
        <v>228899.31</v>
      </c>
      <c r="E29" s="46">
        <v>249198.44</v>
      </c>
      <c r="F29" s="46">
        <v>137840.71</v>
      </c>
      <c r="G29" s="46">
        <v>304063.98</v>
      </c>
      <c r="H29" s="92">
        <v>317427.76</v>
      </c>
      <c r="I29" s="92">
        <v>382651.9</v>
      </c>
      <c r="J29" s="92">
        <v>284448.62</v>
      </c>
      <c r="K29" s="46">
        <v>0</v>
      </c>
      <c r="L29" s="46">
        <v>606489.12</v>
      </c>
      <c r="M29" s="46">
        <v>432686.92</v>
      </c>
      <c r="N29" s="46">
        <f>SUM(B29:M29)</f>
        <v>3420745.74</v>
      </c>
      <c r="O29" s="46">
        <v>3025676.84</v>
      </c>
      <c r="P29" s="46">
        <f>+O29/12*$R$23</f>
        <v>3025676.84</v>
      </c>
      <c r="Q29" s="46">
        <f>+N29-P29</f>
        <v>395068.90000000037</v>
      </c>
      <c r="R29" s="4">
        <f>+Q29/P29</f>
        <v>0.13057207391652587</v>
      </c>
    </row>
    <row r="30" spans="1:18" x14ac:dyDescent="0.3">
      <c r="A30" s="91" t="s">
        <v>135</v>
      </c>
      <c r="B30" s="46">
        <v>0</v>
      </c>
      <c r="C30" s="46">
        <v>79569.179999999993</v>
      </c>
      <c r="D30" s="46">
        <v>0</v>
      </c>
      <c r="E30" s="46">
        <v>0</v>
      </c>
      <c r="F30" s="46">
        <v>0</v>
      </c>
      <c r="G30" s="46">
        <v>0</v>
      </c>
      <c r="H30" s="92">
        <v>0</v>
      </c>
      <c r="I30" s="92">
        <v>0</v>
      </c>
      <c r="J30" s="92">
        <v>0</v>
      </c>
      <c r="K30" s="46">
        <v>0</v>
      </c>
      <c r="L30" s="46">
        <v>0</v>
      </c>
      <c r="M30" s="46">
        <v>188709.59</v>
      </c>
      <c r="N30" s="46">
        <f>SUM(B30:M30)</f>
        <v>268278.77</v>
      </c>
      <c r="O30" s="46">
        <v>146671.87</v>
      </c>
      <c r="P30" s="46">
        <f>+O30/12*$R$23</f>
        <v>146671.87</v>
      </c>
      <c r="Q30" s="46">
        <f>+N30-P30</f>
        <v>121606.90000000002</v>
      </c>
      <c r="R30" s="4">
        <f>+Q30/P30</f>
        <v>0.82910854003565937</v>
      </c>
    </row>
    <row r="31" spans="1:18" x14ac:dyDescent="0.3">
      <c r="A31" s="91" t="s">
        <v>134</v>
      </c>
      <c r="B31" s="46">
        <f>(377084.22-B29-B30)</f>
        <v>131527.13999999998</v>
      </c>
      <c r="C31" s="46">
        <f>(395402.66-C29-C30)</f>
        <v>84351.579999999987</v>
      </c>
      <c r="D31" s="46">
        <f>(387016.87-D29-D30)</f>
        <v>158117.56</v>
      </c>
      <c r="E31" s="46">
        <f>(302646.41-E29-E30)</f>
        <v>53447.969999999972</v>
      </c>
      <c r="F31" s="46">
        <f>(543601.49-F29-F30)</f>
        <v>405760.78</v>
      </c>
      <c r="G31" s="46">
        <f>(504474.11-G29-G30)</f>
        <v>200410.13</v>
      </c>
      <c r="H31" s="92">
        <f>(566616.51-H29-H30)</f>
        <v>249188.75</v>
      </c>
      <c r="I31" s="92">
        <f>(465317.77-I29-I30)</f>
        <v>82665.87</v>
      </c>
      <c r="J31" s="92">
        <f>(467880.03-J29-J30)</f>
        <v>183431.41000000003</v>
      </c>
      <c r="K31" s="46">
        <f>(221278.15-K29-K30)</f>
        <v>221278.15</v>
      </c>
      <c r="L31" s="46">
        <f>(860865.81-L29-L30)</f>
        <v>254376.69000000006</v>
      </c>
      <c r="M31" s="46">
        <f>(791243.13-M29-M30)</f>
        <v>169846.62000000002</v>
      </c>
      <c r="N31" s="46">
        <f>SUM(B31:M31)</f>
        <v>2194402.6500000004</v>
      </c>
      <c r="O31" s="46">
        <f>(5011585.66-O29-O30)</f>
        <v>1839236.9500000002</v>
      </c>
      <c r="P31" s="46">
        <f>+O31/12*$R$23</f>
        <v>1839236.9500000002</v>
      </c>
      <c r="Q31" s="46">
        <f>+N31-P31</f>
        <v>355165.70000000019</v>
      </c>
      <c r="R31" s="4">
        <f>+Q31/P31</f>
        <v>0.19310491777582009</v>
      </c>
    </row>
    <row r="32" spans="1:18" x14ac:dyDescent="0.3">
      <c r="A32" s="23" t="s">
        <v>133</v>
      </c>
      <c r="B32" s="46">
        <f>SUM(B33:B34)</f>
        <v>146815.31</v>
      </c>
      <c r="C32" s="46">
        <f>SUM(C33:C34)</f>
        <v>131001.8</v>
      </c>
      <c r="D32" s="46">
        <f>SUM(D33:D34)</f>
        <v>107909.59</v>
      </c>
      <c r="E32" s="46">
        <f>SUM(E33:E34)</f>
        <v>134677.13</v>
      </c>
      <c r="F32" s="46">
        <f>SUM(F33:F34)</f>
        <v>117889.57</v>
      </c>
      <c r="G32" s="46">
        <f>SUM(G33:G34)</f>
        <v>134129.84</v>
      </c>
      <c r="H32" s="92">
        <f>SUM(H33:H34)</f>
        <v>132719.84</v>
      </c>
      <c r="I32" s="92">
        <f>SUM(I33:I34)</f>
        <v>112087.42</v>
      </c>
      <c r="J32" s="92">
        <f>SUM(J33:J34)</f>
        <v>226638.55</v>
      </c>
      <c r="K32" s="46">
        <f>SUM(K33:K34)</f>
        <v>171562.64</v>
      </c>
      <c r="L32" s="46">
        <f>SUM(L33:L34)</f>
        <v>402727.56</v>
      </c>
      <c r="M32" s="46">
        <f>SUM(M33:M34)</f>
        <v>226250.77</v>
      </c>
      <c r="N32" s="46">
        <f>SUM(N33:N34)</f>
        <v>2044410.02</v>
      </c>
      <c r="O32" s="46">
        <f>SUM(O33:O34)</f>
        <v>1453806.97</v>
      </c>
      <c r="P32" s="46">
        <f>SUM(P33:P34)</f>
        <v>1453806.97</v>
      </c>
      <c r="Q32" s="46">
        <f>+N32-P32</f>
        <v>590603.05000000005</v>
      </c>
      <c r="R32" s="93">
        <f>+Q32/P32</f>
        <v>0.40624585119439899</v>
      </c>
    </row>
    <row r="33" spans="1:19" x14ac:dyDescent="0.3">
      <c r="A33" s="23" t="s">
        <v>132</v>
      </c>
      <c r="B33" s="102">
        <v>126139.89</v>
      </c>
      <c r="C33" s="101">
        <v>79041.86</v>
      </c>
      <c r="D33" s="46">
        <v>90603.16</v>
      </c>
      <c r="E33" s="46">
        <v>97835.63</v>
      </c>
      <c r="F33" s="46">
        <v>93713.02</v>
      </c>
      <c r="G33" s="46">
        <v>94110.14</v>
      </c>
      <c r="H33" s="92">
        <v>90592.24</v>
      </c>
      <c r="I33" s="92">
        <v>90369.42</v>
      </c>
      <c r="J33" s="92">
        <v>84138.26</v>
      </c>
      <c r="K33" s="46">
        <v>78279.259999999995</v>
      </c>
      <c r="L33" s="46">
        <v>109778.83</v>
      </c>
      <c r="M33" s="46">
        <v>86400.34</v>
      </c>
      <c r="N33" s="46">
        <f>SUM(B33:M33)</f>
        <v>1121002.05</v>
      </c>
      <c r="O33" s="46">
        <v>777551.34</v>
      </c>
      <c r="P33" s="46">
        <f>+O33/12*$R$23</f>
        <v>777551.34</v>
      </c>
      <c r="Q33" s="46">
        <f>+N33-P33</f>
        <v>343450.71000000008</v>
      </c>
      <c r="R33" s="93">
        <f>+Q33/P33</f>
        <v>0.44170808065226935</v>
      </c>
    </row>
    <row r="34" spans="1:19" x14ac:dyDescent="0.3">
      <c r="A34" s="23" t="s">
        <v>131</v>
      </c>
      <c r="B34" s="102">
        <f>(146815.31-B33)</f>
        <v>20675.419999999998</v>
      </c>
      <c r="C34" s="101">
        <f>(131001.8-C33)</f>
        <v>51959.94</v>
      </c>
      <c r="D34" s="46">
        <f>(107909.59-D33)</f>
        <v>17306.429999999993</v>
      </c>
      <c r="E34" s="46">
        <f>(134677.13-E33)</f>
        <v>36841.5</v>
      </c>
      <c r="F34" s="46">
        <f>(117889.57-F33)</f>
        <v>24176.550000000003</v>
      </c>
      <c r="G34" s="46">
        <f>(134129.84-G33)</f>
        <v>40019.699999999997</v>
      </c>
      <c r="H34" s="92">
        <f>(132719.84-H33)</f>
        <v>42127.599999999991</v>
      </c>
      <c r="I34" s="92">
        <f>(112087.42-I33)</f>
        <v>21718</v>
      </c>
      <c r="J34" s="92">
        <f>(226638.55-J33)</f>
        <v>142500.28999999998</v>
      </c>
      <c r="K34" s="46">
        <f>(171562.64-K33)</f>
        <v>93283.380000000019</v>
      </c>
      <c r="L34" s="46">
        <f>(402727.56-L33)</f>
        <v>292948.73</v>
      </c>
      <c r="M34" s="46">
        <f>(226250.77-M33)</f>
        <v>139850.43</v>
      </c>
      <c r="N34" s="46">
        <f>SUM(B34:M34)</f>
        <v>923407.97</v>
      </c>
      <c r="O34" s="46">
        <v>676255.63</v>
      </c>
      <c r="P34" s="46">
        <f>+O34/12*$R$23</f>
        <v>676255.63</v>
      </c>
      <c r="Q34" s="46">
        <f>+N34-P34</f>
        <v>247152.33999999997</v>
      </c>
      <c r="R34" s="93">
        <f>+Q34/P34</f>
        <v>0.36547176694114913</v>
      </c>
    </row>
    <row r="35" spans="1:19" x14ac:dyDescent="0.3">
      <c r="A35" s="23" t="s">
        <v>130</v>
      </c>
      <c r="B35" s="102">
        <v>51739.49</v>
      </c>
      <c r="C35" s="101">
        <v>51730.12</v>
      </c>
      <c r="D35" s="46">
        <v>51771.6</v>
      </c>
      <c r="E35" s="46">
        <v>51735.91</v>
      </c>
      <c r="F35" s="46">
        <v>51782.29</v>
      </c>
      <c r="G35" s="46">
        <v>51705.71</v>
      </c>
      <c r="H35" s="92">
        <v>51800.56</v>
      </c>
      <c r="I35" s="92">
        <v>51721.99</v>
      </c>
      <c r="J35" s="92">
        <v>51766.66</v>
      </c>
      <c r="K35" s="46">
        <v>48916.89</v>
      </c>
      <c r="L35" s="46">
        <v>48958.49</v>
      </c>
      <c r="M35" s="46">
        <v>48926.93</v>
      </c>
      <c r="N35" s="46">
        <f>SUM(B35:M35)</f>
        <v>612556.64</v>
      </c>
      <c r="O35" s="46">
        <v>0</v>
      </c>
      <c r="P35" s="46">
        <f>+O35/12*$R$23</f>
        <v>0</v>
      </c>
      <c r="Q35" s="46">
        <v>0</v>
      </c>
      <c r="R35" s="93"/>
    </row>
    <row r="36" spans="1:19" x14ac:dyDescent="0.3">
      <c r="A36" s="100" t="s">
        <v>129</v>
      </c>
      <c r="B36" s="100"/>
      <c r="C36" s="100"/>
      <c r="D36" s="46"/>
      <c r="E36" s="46"/>
      <c r="F36" s="46"/>
      <c r="G36" s="46"/>
      <c r="H36" s="92"/>
      <c r="I36" s="46"/>
      <c r="J36" s="46"/>
      <c r="K36" s="46"/>
      <c r="L36" s="46"/>
      <c r="M36" s="46"/>
      <c r="N36" s="46"/>
      <c r="O36" s="46"/>
      <c r="P36" s="46"/>
      <c r="Q36" s="46"/>
      <c r="R36" s="4"/>
    </row>
    <row r="37" spans="1:19" x14ac:dyDescent="0.3">
      <c r="A37" s="99" t="s">
        <v>128</v>
      </c>
      <c r="B37" s="47">
        <f>+B11-B25</f>
        <v>1240941.94</v>
      </c>
      <c r="C37" s="47">
        <f>+C11-C25</f>
        <v>291731.62999999989</v>
      </c>
      <c r="D37" s="47">
        <f>+D11-D25</f>
        <v>909069.39000000036</v>
      </c>
      <c r="E37" s="47">
        <f>+E11-E25</f>
        <v>432558.54000000004</v>
      </c>
      <c r="F37" s="47">
        <f>+F11-F25</f>
        <v>225959.78000000003</v>
      </c>
      <c r="G37" s="47">
        <f>+G11-G25</f>
        <v>365799.68999999994</v>
      </c>
      <c r="H37" s="47">
        <f>+H11-H25</f>
        <v>287444.68999999994</v>
      </c>
      <c r="I37" s="47">
        <f>+I11-I25</f>
        <v>220385.16000000038</v>
      </c>
      <c r="J37" s="47">
        <f>+J11-J25</f>
        <v>-208566.83000000007</v>
      </c>
      <c r="K37" s="47">
        <f>+K11-K25</f>
        <v>218181.13000000059</v>
      </c>
      <c r="L37" s="47">
        <f>+L11-L25</f>
        <v>123563.13999999966</v>
      </c>
      <c r="M37" s="47">
        <f>+M11-M25</f>
        <v>-116136.4700000002</v>
      </c>
      <c r="N37" s="47">
        <f>+N11-N25</f>
        <v>3990931.7900000028</v>
      </c>
      <c r="O37" s="47">
        <f>+O11-O25</f>
        <v>2453146.9999999981</v>
      </c>
      <c r="P37" s="47">
        <f>+P11-P25</f>
        <v>2453146.9999999981</v>
      </c>
      <c r="Q37" s="47">
        <f>+N37-P37</f>
        <v>1537784.7900000047</v>
      </c>
      <c r="R37" s="4">
        <f>+Q37/P37</f>
        <v>0.62686206330073402</v>
      </c>
    </row>
    <row r="38" spans="1:19" x14ac:dyDescent="0.3">
      <c r="A38" s="21" t="s">
        <v>127</v>
      </c>
      <c r="B38" s="46">
        <v>0</v>
      </c>
      <c r="C38" s="46"/>
      <c r="D38" s="46"/>
      <c r="E38" s="46"/>
      <c r="F38" s="46"/>
      <c r="G38" s="46"/>
      <c r="H38" s="92"/>
      <c r="I38" s="46"/>
      <c r="J38" s="46"/>
      <c r="K38" s="46"/>
      <c r="L38" s="46"/>
      <c r="M38" s="46"/>
      <c r="N38" s="46">
        <f>SUM(B38:M38)</f>
        <v>0</v>
      </c>
      <c r="O38" s="46">
        <v>0</v>
      </c>
      <c r="P38" s="46">
        <f>+O38/12*$R$23</f>
        <v>0</v>
      </c>
      <c r="Q38" s="46">
        <f>+N38-P38</f>
        <v>0</v>
      </c>
      <c r="R38" s="4"/>
    </row>
    <row r="39" spans="1:19" x14ac:dyDescent="0.3">
      <c r="A39" s="98" t="s">
        <v>126</v>
      </c>
      <c r="B39" s="97">
        <f>B40+B41+B42</f>
        <v>72425.710000000006</v>
      </c>
      <c r="C39" s="97">
        <f>+C40+C41+C42</f>
        <v>0</v>
      </c>
      <c r="D39" s="97">
        <f>+D40+D41+D42</f>
        <v>0</v>
      </c>
      <c r="E39" s="97">
        <f>+E40+E41+E42</f>
        <v>0</v>
      </c>
      <c r="F39" s="97">
        <f>+F40+F41+F42</f>
        <v>0</v>
      </c>
      <c r="G39" s="97">
        <f>+G40+G41+G42</f>
        <v>0</v>
      </c>
      <c r="H39" s="97">
        <f>+H40+H41+H42</f>
        <v>0</v>
      </c>
      <c r="I39" s="97">
        <f>+I40+I41+I42</f>
        <v>37202.78</v>
      </c>
      <c r="J39" s="97">
        <f>+J40+J41+J42</f>
        <v>28158.11</v>
      </c>
      <c r="K39" s="97">
        <f>+K40+K41+K42</f>
        <v>0</v>
      </c>
      <c r="L39" s="97">
        <f>+L40+L41+L42</f>
        <v>66042.930000000008</v>
      </c>
      <c r="M39" s="97">
        <f>+M40+M41+M42</f>
        <v>27200</v>
      </c>
      <c r="N39" s="97">
        <f>+N40+N41+N42</f>
        <v>231029.53</v>
      </c>
      <c r="O39" s="97">
        <f>SUM(O40:O42)</f>
        <v>2453147</v>
      </c>
      <c r="P39" s="97">
        <f>+O39/12*$R$23</f>
        <v>2453147</v>
      </c>
      <c r="Q39" s="97">
        <f>+N39-P39</f>
        <v>-2222117.4700000002</v>
      </c>
      <c r="R39" s="96">
        <f>+Q39/P39</f>
        <v>-0.90582320178937514</v>
      </c>
      <c r="S39" s="10">
        <v>21</v>
      </c>
    </row>
    <row r="40" spans="1:19" x14ac:dyDescent="0.3">
      <c r="A40" s="91" t="s">
        <v>125</v>
      </c>
      <c r="B40" s="46">
        <v>72425.710000000006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92">
        <v>0</v>
      </c>
      <c r="I40" s="46">
        <v>30396.75</v>
      </c>
      <c r="J40" s="46">
        <v>28158.11</v>
      </c>
      <c r="K40" s="46">
        <v>0</v>
      </c>
      <c r="L40" s="46">
        <v>59236.9</v>
      </c>
      <c r="M40" s="46">
        <v>0</v>
      </c>
      <c r="N40" s="46">
        <f>SUM(B40:M40)</f>
        <v>190217.47</v>
      </c>
      <c r="O40" s="46">
        <v>839121</v>
      </c>
      <c r="P40" s="46"/>
      <c r="Q40" s="46"/>
      <c r="R40" s="4"/>
    </row>
    <row r="41" spans="1:19" x14ac:dyDescent="0.3">
      <c r="A41" s="91" t="s">
        <v>124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92">
        <v>0</v>
      </c>
      <c r="I41" s="46">
        <v>0</v>
      </c>
      <c r="J41" s="46">
        <v>0</v>
      </c>
      <c r="K41" s="46">
        <v>0</v>
      </c>
      <c r="L41" s="46">
        <v>0</v>
      </c>
      <c r="M41" s="46">
        <v>7200</v>
      </c>
      <c r="N41" s="46">
        <f>SUM(B41:M41)</f>
        <v>7200</v>
      </c>
      <c r="O41" s="46">
        <v>0</v>
      </c>
      <c r="P41" s="46"/>
      <c r="Q41" s="46"/>
      <c r="R41" s="4"/>
    </row>
    <row r="42" spans="1:19" x14ac:dyDescent="0.3">
      <c r="A42" s="91" t="s">
        <v>123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92">
        <v>0</v>
      </c>
      <c r="I42" s="92">
        <v>6806.03</v>
      </c>
      <c r="J42" s="92">
        <v>0</v>
      </c>
      <c r="K42" s="46">
        <v>0</v>
      </c>
      <c r="L42" s="46">
        <v>6806.03</v>
      </c>
      <c r="M42" s="46">
        <v>20000</v>
      </c>
      <c r="N42" s="46">
        <f>SUM(B42:M42)</f>
        <v>33612.06</v>
      </c>
      <c r="O42" s="46">
        <v>1614026</v>
      </c>
      <c r="P42" s="46"/>
      <c r="Q42" s="46"/>
      <c r="R42" s="4"/>
    </row>
    <row r="43" spans="1:19" x14ac:dyDescent="0.3">
      <c r="A43" s="95" t="s">
        <v>122</v>
      </c>
      <c r="B43" s="94">
        <f>+B37-B38-B39</f>
        <v>1168516.23</v>
      </c>
      <c r="C43" s="94">
        <f>+C37-C38-C39</f>
        <v>291731.62999999989</v>
      </c>
      <c r="D43" s="94">
        <f>+D37-D38-D39</f>
        <v>909069.39000000036</v>
      </c>
      <c r="E43" s="94">
        <f>+E37-E38-E39</f>
        <v>432558.54000000004</v>
      </c>
      <c r="F43" s="94">
        <f>+F37-F38-F39</f>
        <v>225959.78000000003</v>
      </c>
      <c r="G43" s="94">
        <f>+G37-G38-G39</f>
        <v>365799.68999999994</v>
      </c>
      <c r="H43" s="94">
        <f>+H37-H38-H39</f>
        <v>287444.68999999994</v>
      </c>
      <c r="I43" s="94">
        <f>+I37-I38-I39</f>
        <v>183182.38000000038</v>
      </c>
      <c r="J43" s="94">
        <f>+J37-J38-J39</f>
        <v>-236724.94000000006</v>
      </c>
      <c r="K43" s="94">
        <f>+K37-K38-K39</f>
        <v>218181.13000000059</v>
      </c>
      <c r="L43" s="94">
        <f>+L37-L38-L39</f>
        <v>57520.209999999657</v>
      </c>
      <c r="M43" s="94">
        <f>+M37-M38-M39</f>
        <v>-143336.4700000002</v>
      </c>
      <c r="N43" s="94">
        <f>+N37-N38-N39</f>
        <v>3759902.260000003</v>
      </c>
      <c r="O43" s="94"/>
      <c r="P43" s="94">
        <f>+P37-P38-P39</f>
        <v>0</v>
      </c>
      <c r="Q43" s="94">
        <f>+N43-P43</f>
        <v>3759902.260000003</v>
      </c>
      <c r="R43" s="93">
        <v>0</v>
      </c>
    </row>
    <row r="44" spans="1:19" x14ac:dyDescent="0.3">
      <c r="A44" s="21" t="s">
        <v>121</v>
      </c>
      <c r="B44" s="46"/>
      <c r="C44" s="46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SUM(B44:M44)</f>
        <v>0</v>
      </c>
      <c r="O44" s="46"/>
      <c r="P44" s="46">
        <f>SUM(D44:O44)</f>
        <v>0</v>
      </c>
      <c r="Q44" s="46">
        <f>SUM(E44:P44)</f>
        <v>0</v>
      </c>
      <c r="R44" s="4">
        <v>0</v>
      </c>
    </row>
    <row r="45" spans="1:19" x14ac:dyDescent="0.3">
      <c r="A45" s="17" t="s">
        <v>120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"/>
    </row>
    <row r="46" spans="1:19" x14ac:dyDescent="0.3">
      <c r="A46" s="45" t="s">
        <v>119</v>
      </c>
      <c r="B46" s="92">
        <f>SUM(B47:B49)</f>
        <v>2487702.04</v>
      </c>
      <c r="C46" s="92">
        <f>SUM(C47:C49)</f>
        <v>2326236.6799999997</v>
      </c>
      <c r="D46" s="92">
        <f>SUM(D47:D49)</f>
        <v>3755096.7100000004</v>
      </c>
      <c r="E46" s="92">
        <f>SUM(E47:E49)</f>
        <v>5277188.75</v>
      </c>
      <c r="F46" s="92">
        <f>SUM(F47:F49)</f>
        <v>4800832.3100000005</v>
      </c>
      <c r="G46" s="92">
        <f>SUM(G47:G49)</f>
        <v>5860562.21</v>
      </c>
      <c r="H46" s="92">
        <f>SUM(H47:H49)</f>
        <v>5796843.2799999993</v>
      </c>
      <c r="I46" s="92">
        <f>SUM(I47:I49)</f>
        <v>5679712.459999999</v>
      </c>
      <c r="J46" s="92">
        <f>SUM(J47:J49)</f>
        <v>5866846.7800000003</v>
      </c>
      <c r="K46" s="46">
        <f>SUM(K47:K49)</f>
        <v>5979663.5999999996</v>
      </c>
      <c r="L46" s="92">
        <f>SUM(L47:L49)</f>
        <v>5712613.1800000006</v>
      </c>
      <c r="M46" s="92">
        <f>SUM(M47:M49)</f>
        <v>5772307.5100000007</v>
      </c>
      <c r="N46" s="92"/>
      <c r="O46" s="92"/>
      <c r="P46" s="46"/>
      <c r="Q46" s="46"/>
      <c r="R46" s="4"/>
    </row>
    <row r="47" spans="1:19" x14ac:dyDescent="0.3">
      <c r="A47" s="91" t="s">
        <v>118</v>
      </c>
      <c r="B47" s="46">
        <v>1885107.81</v>
      </c>
      <c r="C47" s="46">
        <v>344960.09</v>
      </c>
      <c r="D47" s="46">
        <v>162128.49</v>
      </c>
      <c r="E47" s="46">
        <v>293131.81</v>
      </c>
      <c r="F47" s="46">
        <v>197288.6</v>
      </c>
      <c r="G47" s="46">
        <v>267455.39</v>
      </c>
      <c r="H47" s="46">
        <v>203137.42</v>
      </c>
      <c r="I47" s="46">
        <v>310444.53000000003</v>
      </c>
      <c r="J47" s="46">
        <v>396516.93</v>
      </c>
      <c r="K47" s="46">
        <v>572449.13</v>
      </c>
      <c r="L47" s="46">
        <v>199336.94</v>
      </c>
      <c r="M47" s="46">
        <v>288446.48</v>
      </c>
      <c r="N47" s="46"/>
      <c r="O47" s="46"/>
      <c r="P47" s="46"/>
      <c r="Q47" s="46"/>
      <c r="R47" s="4"/>
    </row>
    <row r="48" spans="1:19" x14ac:dyDescent="0.3">
      <c r="A48" s="91" t="s">
        <v>117</v>
      </c>
      <c r="B48" s="46">
        <v>586355.86</v>
      </c>
      <c r="C48" s="46">
        <v>746376.86</v>
      </c>
      <c r="D48" s="46">
        <v>746376.86</v>
      </c>
      <c r="E48" s="46">
        <v>746376.86</v>
      </c>
      <c r="F48" s="46">
        <v>746376.86</v>
      </c>
      <c r="G48" s="46">
        <v>746376.86</v>
      </c>
      <c r="H48" s="46">
        <f>746376.86-80379.16</f>
        <v>665997.69999999995</v>
      </c>
      <c r="I48" s="46">
        <v>665997.69999999995</v>
      </c>
      <c r="J48" s="46">
        <v>665997.69999999995</v>
      </c>
      <c r="K48" s="46">
        <v>746376.86</v>
      </c>
      <c r="L48" s="46">
        <v>71146.52</v>
      </c>
      <c r="M48" s="46">
        <v>55973.39</v>
      </c>
      <c r="N48" s="46"/>
      <c r="O48" s="46"/>
      <c r="P48" s="46"/>
      <c r="Q48" s="46"/>
      <c r="R48" s="4"/>
    </row>
    <row r="49" spans="1:19" x14ac:dyDescent="0.3">
      <c r="A49" s="91" t="s">
        <v>116</v>
      </c>
      <c r="B49" s="46">
        <v>16238.369999999995</v>
      </c>
      <c r="C49" s="46">
        <v>1234899.73</v>
      </c>
      <c r="D49" s="46">
        <v>2846591.3600000003</v>
      </c>
      <c r="E49" s="46">
        <v>4237680.08</v>
      </c>
      <c r="F49" s="46">
        <v>3857166.85</v>
      </c>
      <c r="G49" s="46">
        <v>4846729.96</v>
      </c>
      <c r="H49" s="46">
        <v>4927708.1599999992</v>
      </c>
      <c r="I49" s="46">
        <v>4703270.2299999995</v>
      </c>
      <c r="J49" s="46">
        <v>4804332.1500000004</v>
      </c>
      <c r="K49" s="46">
        <v>4660837.6099999994</v>
      </c>
      <c r="L49" s="46">
        <v>5442129.7200000007</v>
      </c>
      <c r="M49" s="46">
        <v>5427887.6400000006</v>
      </c>
      <c r="N49" s="46"/>
      <c r="O49" s="46"/>
      <c r="P49" s="46"/>
      <c r="Q49" s="46"/>
      <c r="R49" s="4"/>
    </row>
    <row r="50" spans="1:19" x14ac:dyDescent="0.3">
      <c r="A50" s="21" t="s">
        <v>115</v>
      </c>
      <c r="B50" s="46">
        <v>6460100.1299999999</v>
      </c>
      <c r="C50" s="46">
        <v>6690147.1100000003</v>
      </c>
      <c r="D50" s="46">
        <v>7752222.9299999997</v>
      </c>
      <c r="E50" s="46">
        <v>8425806.5700000003</v>
      </c>
      <c r="F50" s="46">
        <v>8559106.3100000005</v>
      </c>
      <c r="G50" s="46">
        <v>9043665.5199999996</v>
      </c>
      <c r="H50" s="46">
        <v>8813588.2300000004</v>
      </c>
      <c r="I50" s="46">
        <v>9133576.4199999999</v>
      </c>
      <c r="J50" s="46">
        <v>9215339.4800000004</v>
      </c>
      <c r="K50" s="46">
        <v>9213417.9700000007</v>
      </c>
      <c r="L50" s="46">
        <v>9008142.4000000004</v>
      </c>
      <c r="M50" s="46">
        <v>8776000.2599999998</v>
      </c>
      <c r="N50" s="46"/>
      <c r="O50" s="46"/>
      <c r="P50" s="46"/>
      <c r="Q50" s="46"/>
      <c r="R50" s="4"/>
    </row>
    <row r="51" spans="1:19" x14ac:dyDescent="0.3">
      <c r="A51" s="21" t="s">
        <v>114</v>
      </c>
      <c r="B51" s="46">
        <v>96201294.319999993</v>
      </c>
      <c r="C51" s="46">
        <v>96373665.859999999</v>
      </c>
      <c r="D51" s="46">
        <v>97378066.239999995</v>
      </c>
      <c r="E51" s="46">
        <v>97993974.439999998</v>
      </c>
      <c r="F51" s="46">
        <v>98069598.739999995</v>
      </c>
      <c r="G51" s="46">
        <v>98554486.540000007</v>
      </c>
      <c r="H51" s="46">
        <v>98771419.280000001</v>
      </c>
      <c r="I51" s="46">
        <v>99070934.810000002</v>
      </c>
      <c r="J51" s="46">
        <v>99123180.540000007</v>
      </c>
      <c r="K51" s="46">
        <v>99066393.359999999</v>
      </c>
      <c r="L51" s="46">
        <v>98872295.049999997</v>
      </c>
      <c r="M51" s="46">
        <v>98612487.239999995</v>
      </c>
      <c r="N51" s="46"/>
      <c r="O51" s="46"/>
      <c r="P51" s="46"/>
      <c r="Q51" s="46"/>
      <c r="R51" s="4"/>
    </row>
    <row r="52" spans="1:19" x14ac:dyDescent="0.3">
      <c r="A52" s="21" t="s">
        <v>113</v>
      </c>
      <c r="B52" s="46">
        <v>854396.13</v>
      </c>
      <c r="C52" s="46">
        <v>730476.04</v>
      </c>
      <c r="D52" s="46">
        <v>821007.03</v>
      </c>
      <c r="E52" s="46">
        <v>994516.69</v>
      </c>
      <c r="F52" s="46">
        <v>838030.91</v>
      </c>
      <c r="G52" s="46">
        <v>958229.41</v>
      </c>
      <c r="H52" s="46">
        <v>882677.46</v>
      </c>
      <c r="I52" s="46">
        <v>957007.83</v>
      </c>
      <c r="J52" s="46">
        <v>1085226.54</v>
      </c>
      <c r="K52" s="46">
        <v>933492.08</v>
      </c>
      <c r="L52" s="46">
        <v>615830.63</v>
      </c>
      <c r="M52" s="46">
        <v>792133.62</v>
      </c>
      <c r="N52" s="46"/>
      <c r="O52" s="46"/>
      <c r="P52" s="46"/>
      <c r="Q52" s="46"/>
      <c r="R52" s="4"/>
    </row>
    <row r="53" spans="1:19" x14ac:dyDescent="0.3">
      <c r="A53" s="21" t="s">
        <v>112</v>
      </c>
      <c r="B53" s="46">
        <v>854396.13</v>
      </c>
      <c r="C53" s="46">
        <v>730476.04</v>
      </c>
      <c r="D53" s="46">
        <v>821007.03</v>
      </c>
      <c r="E53" s="46">
        <v>994516.69</v>
      </c>
      <c r="F53" s="46">
        <v>838030.91</v>
      </c>
      <c r="G53" s="46">
        <v>958229.41</v>
      </c>
      <c r="H53" s="46">
        <v>882677.46</v>
      </c>
      <c r="I53" s="46">
        <v>957007.83</v>
      </c>
      <c r="J53" s="46">
        <v>1085226.54</v>
      </c>
      <c r="K53" s="46">
        <v>933492.08</v>
      </c>
      <c r="L53" s="46">
        <v>615830.63</v>
      </c>
      <c r="M53" s="46">
        <v>792133.62</v>
      </c>
      <c r="N53" s="46"/>
      <c r="O53" s="46"/>
      <c r="P53" s="46"/>
      <c r="Q53" s="46"/>
      <c r="R53" s="4"/>
    </row>
    <row r="54" spans="1:19" x14ac:dyDescent="0.3">
      <c r="A54" s="21" t="s">
        <v>111</v>
      </c>
      <c r="B54" s="46">
        <v>90499.96</v>
      </c>
      <c r="C54" s="46">
        <v>219924.8</v>
      </c>
      <c r="D54" s="46">
        <v>278157.15999999997</v>
      </c>
      <c r="E54" s="46">
        <v>70844.59</v>
      </c>
      <c r="F54" s="46">
        <v>133174.25</v>
      </c>
      <c r="G54" s="46">
        <v>223637.46</v>
      </c>
      <c r="H54" s="46">
        <v>115218.19</v>
      </c>
      <c r="I54" s="46">
        <v>188630.82</v>
      </c>
      <c r="J54" s="46">
        <v>255773.17</v>
      </c>
      <c r="K54" s="46">
        <v>77098.69</v>
      </c>
      <c r="L54" s="46">
        <v>139008.97</v>
      </c>
      <c r="M54" s="46">
        <v>380832.67</v>
      </c>
      <c r="N54" s="46"/>
      <c r="O54" s="46"/>
      <c r="P54" s="46"/>
      <c r="Q54" s="46"/>
      <c r="R54" s="4"/>
    </row>
    <row r="55" spans="1:19" x14ac:dyDescent="0.3">
      <c r="A55" s="90"/>
      <c r="B55" s="89"/>
      <c r="C55" s="89"/>
      <c r="D55" s="89"/>
      <c r="E55" s="89"/>
      <c r="F55" s="89"/>
      <c r="G55" s="89"/>
      <c r="H55" s="89"/>
      <c r="I55" s="89"/>
      <c r="J55" s="89"/>
      <c r="K55" s="46"/>
      <c r="L55" s="89"/>
      <c r="M55" s="89"/>
      <c r="N55" s="89"/>
      <c r="O55" s="89"/>
      <c r="P55" s="89"/>
      <c r="Q55" s="89"/>
      <c r="R55" s="4"/>
    </row>
    <row r="56" spans="1:19" ht="15.6" x14ac:dyDescent="0.3">
      <c r="A56" s="88" t="s">
        <v>110</v>
      </c>
      <c r="B56" s="82">
        <f>+B57+B58+B59</f>
        <v>108278</v>
      </c>
      <c r="C56" s="82">
        <f>+C57+C58+C59</f>
        <v>104866</v>
      </c>
      <c r="D56" s="82">
        <f>SUM(D57:D59)</f>
        <v>102808</v>
      </c>
      <c r="E56" s="82">
        <f>SUM(E57:E59)</f>
        <v>85641</v>
      </c>
      <c r="F56" s="82">
        <f>SUM(F57:F59)</f>
        <v>62315</v>
      </c>
      <c r="G56" s="82">
        <f>SUM(G57:G59)</f>
        <v>138675</v>
      </c>
      <c r="H56" s="82">
        <f>SUM(H57:H59)</f>
        <v>152674</v>
      </c>
      <c r="I56" s="82">
        <f>SUM(I57:I59)</f>
        <v>193525</v>
      </c>
      <c r="J56" s="82">
        <f>SUM(J57:J59)</f>
        <v>221004</v>
      </c>
      <c r="K56" s="82">
        <f>SUM(K57:K59)</f>
        <v>0</v>
      </c>
      <c r="L56" s="82">
        <f>SUM(L57:L59)</f>
        <v>316711</v>
      </c>
      <c r="M56" s="82">
        <f>SUM(M57:M59)</f>
        <v>173043</v>
      </c>
      <c r="N56" s="82">
        <f>SUM(N57:N59)</f>
        <v>1659540</v>
      </c>
      <c r="O56" s="82"/>
      <c r="P56" s="82"/>
      <c r="Q56" s="82"/>
      <c r="R56" s="82"/>
      <c r="S56" s="10">
        <v>9</v>
      </c>
    </row>
    <row r="57" spans="1:19" x14ac:dyDescent="0.3">
      <c r="A57" s="21" t="s">
        <v>108</v>
      </c>
      <c r="B57" s="38">
        <f>80+28520+38+9400+1+1675+35412+33152</f>
        <v>108278</v>
      </c>
      <c r="C57" s="38">
        <f>0+19640+15096+11080+0+3348+35612+20090</f>
        <v>104866</v>
      </c>
      <c r="D57" s="38">
        <f>80+19640+34+14080+0+2233+35645+31096</f>
        <v>102808</v>
      </c>
      <c r="E57" s="38">
        <f>827+10760+2730+36704+34620</f>
        <v>85641</v>
      </c>
      <c r="F57" s="38">
        <f>41+19520+2730+2504+37520</f>
        <v>62315</v>
      </c>
      <c r="G57" s="38">
        <f>80+69240+4216+16200+3994+1+44944</f>
        <v>138675</v>
      </c>
      <c r="H57" s="38">
        <f>28440+16956+19160+3893+42929+41296</f>
        <v>152674</v>
      </c>
      <c r="I57" s="38">
        <f>42848+26840+11349+22640+4272+42848+42728</f>
        <v>193525</v>
      </c>
      <c r="J57" s="38">
        <f>4578+162+19120+24600+4272+4370+42848+34494+42728+43832</f>
        <v>221004</v>
      </c>
      <c r="K57" s="38">
        <v>0</v>
      </c>
      <c r="L57" s="38">
        <f>26840+136160+35840+32400+46+11080+3140+35157+36048</f>
        <v>316711</v>
      </c>
      <c r="M57" s="38">
        <f>0+31120+0+9200+1+2154+27437+34720+30918+2717+34776</f>
        <v>173043</v>
      </c>
      <c r="N57" s="38">
        <f>SUM(B57:M57)</f>
        <v>1659540</v>
      </c>
      <c r="O57" s="38"/>
      <c r="P57" s="38"/>
      <c r="Q57" s="38"/>
      <c r="R57" s="38"/>
    </row>
    <row r="58" spans="1:19" ht="15" customHeight="1" x14ac:dyDescent="0.3">
      <c r="A58" s="21" t="s">
        <v>107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/>
      <c r="O58" s="38"/>
      <c r="P58" s="38"/>
      <c r="Q58" s="38"/>
      <c r="R58" s="38"/>
    </row>
    <row r="59" spans="1:19" ht="15" customHeight="1" x14ac:dyDescent="0.3">
      <c r="A59" s="21" t="s">
        <v>106</v>
      </c>
      <c r="B59" s="38">
        <v>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/>
      <c r="O59" s="38"/>
      <c r="P59" s="38"/>
      <c r="Q59" s="38"/>
      <c r="R59" s="38"/>
    </row>
    <row r="60" spans="1:19" ht="15" customHeight="1" x14ac:dyDescent="0.3">
      <c r="A60" s="45"/>
      <c r="B60" s="38"/>
      <c r="C60" s="38"/>
      <c r="D60" s="38"/>
      <c r="E60" s="38"/>
      <c r="F60" s="38"/>
      <c r="G60" s="38"/>
      <c r="H60" s="64"/>
      <c r="I60" s="64"/>
      <c r="J60" s="64"/>
      <c r="K60" s="46"/>
      <c r="L60" s="38"/>
      <c r="M60" s="38"/>
      <c r="N60" s="38"/>
      <c r="O60" s="38"/>
      <c r="P60" s="38"/>
      <c r="Q60" s="38"/>
      <c r="R60" s="38"/>
    </row>
    <row r="61" spans="1:19" ht="15.6" x14ac:dyDescent="0.3">
      <c r="A61" s="84" t="s">
        <v>109</v>
      </c>
      <c r="B61" s="82">
        <f>+B62+B63+B64</f>
        <v>245557.08</v>
      </c>
      <c r="C61" s="82">
        <f>+C62+C63+C64</f>
        <v>231481.9</v>
      </c>
      <c r="D61" s="82">
        <f>+D62+D63+D64</f>
        <v>228899.31</v>
      </c>
      <c r="E61" s="82">
        <f>+E62+E63+E64</f>
        <v>249198.44</v>
      </c>
      <c r="F61" s="82">
        <f>+F62+F63+F64</f>
        <v>137840.71</v>
      </c>
      <c r="G61" s="82">
        <f>+G62+G63+G64</f>
        <v>304063.98</v>
      </c>
      <c r="H61" s="82">
        <f>+H62+H63+H64</f>
        <v>317427.76</v>
      </c>
      <c r="I61" s="82">
        <f>+I62+I63+I64</f>
        <v>382651.9</v>
      </c>
      <c r="J61" s="82">
        <f>+J62+J63+J64</f>
        <v>284448.62</v>
      </c>
      <c r="K61" s="82">
        <f>+K62+K63+K64</f>
        <v>0</v>
      </c>
      <c r="L61" s="82">
        <f>+L62+L63+L64</f>
        <v>606489.12</v>
      </c>
      <c r="M61" s="82">
        <f>+M62+M63+M64</f>
        <v>420456.38</v>
      </c>
      <c r="N61" s="82"/>
      <c r="O61" s="82"/>
      <c r="P61" s="82"/>
      <c r="Q61" s="82"/>
      <c r="R61" s="82"/>
      <c r="S61" s="10">
        <v>8</v>
      </c>
    </row>
    <row r="62" spans="1:19" x14ac:dyDescent="0.3">
      <c r="A62" s="21" t="s">
        <v>108</v>
      </c>
      <c r="B62" s="38">
        <f>B29</f>
        <v>245557.08</v>
      </c>
      <c r="C62" s="38">
        <f>C29</f>
        <v>231481.9</v>
      </c>
      <c r="D62" s="38">
        <f>D29</f>
        <v>228899.31</v>
      </c>
      <c r="E62" s="86">
        <f>E29</f>
        <v>249198.44</v>
      </c>
      <c r="F62" s="86">
        <f>F29</f>
        <v>137840.71</v>
      </c>
      <c r="G62" s="38">
        <f>G29</f>
        <v>304063.98</v>
      </c>
      <c r="H62" s="64">
        <f>H29</f>
        <v>317427.76</v>
      </c>
      <c r="I62" s="64">
        <f>I29</f>
        <v>382651.9</v>
      </c>
      <c r="J62" s="64">
        <f>J29</f>
        <v>284448.62</v>
      </c>
      <c r="K62" s="46">
        <f>K29</f>
        <v>0</v>
      </c>
      <c r="L62" s="38">
        <f>L29</f>
        <v>606489.12</v>
      </c>
      <c r="M62" s="38">
        <v>420456.38</v>
      </c>
      <c r="N62" s="38"/>
      <c r="O62" s="38"/>
      <c r="P62" s="38"/>
      <c r="Q62" s="38"/>
      <c r="R62" s="38"/>
    </row>
    <row r="63" spans="1:19" x14ac:dyDescent="0.3">
      <c r="A63" s="21" t="s">
        <v>107</v>
      </c>
      <c r="B63" s="38">
        <v>0</v>
      </c>
      <c r="C63" s="38">
        <v>0</v>
      </c>
      <c r="D63" s="38">
        <v>0</v>
      </c>
      <c r="E63" s="86">
        <v>0</v>
      </c>
      <c r="F63" s="38">
        <v>0</v>
      </c>
      <c r="G63" s="38">
        <v>0</v>
      </c>
      <c r="H63" s="64">
        <v>0</v>
      </c>
      <c r="I63" s="64">
        <v>0</v>
      </c>
      <c r="J63" s="64">
        <v>0</v>
      </c>
      <c r="K63" s="46">
        <v>0</v>
      </c>
      <c r="L63" s="38">
        <v>0</v>
      </c>
      <c r="M63" s="38">
        <v>0</v>
      </c>
      <c r="N63" s="38"/>
      <c r="O63" s="38"/>
      <c r="P63" s="38"/>
      <c r="Q63" s="38"/>
      <c r="R63" s="38"/>
    </row>
    <row r="64" spans="1:19" x14ac:dyDescent="0.3">
      <c r="A64" s="21" t="s">
        <v>106</v>
      </c>
      <c r="B64" s="38">
        <v>0</v>
      </c>
      <c r="C64" s="38">
        <v>0</v>
      </c>
      <c r="D64" s="38">
        <v>0</v>
      </c>
      <c r="E64" s="86">
        <v>0</v>
      </c>
      <c r="F64" s="38">
        <v>0</v>
      </c>
      <c r="G64" s="38">
        <v>0</v>
      </c>
      <c r="H64" s="64">
        <v>0</v>
      </c>
      <c r="I64" s="64">
        <v>0</v>
      </c>
      <c r="J64" s="64">
        <v>0</v>
      </c>
      <c r="K64" s="46">
        <v>0</v>
      </c>
      <c r="L64" s="38">
        <v>0</v>
      </c>
      <c r="M64" s="38">
        <v>0</v>
      </c>
      <c r="N64" s="38"/>
      <c r="O64" s="38"/>
      <c r="P64" s="38"/>
      <c r="Q64" s="38"/>
      <c r="R64" s="38"/>
    </row>
    <row r="65" spans="1:19" x14ac:dyDescent="0.3">
      <c r="A65" s="87"/>
      <c r="B65" s="38"/>
      <c r="C65" s="38"/>
      <c r="D65" s="38"/>
      <c r="E65" s="86"/>
      <c r="F65" s="38"/>
      <c r="G65" s="38"/>
      <c r="H65" s="64"/>
      <c r="I65" s="64"/>
      <c r="J65" s="64"/>
      <c r="K65" s="46"/>
      <c r="L65" s="38"/>
      <c r="M65" s="38"/>
      <c r="N65" s="38"/>
      <c r="O65" s="38"/>
      <c r="P65" s="38"/>
      <c r="Q65" s="38"/>
      <c r="R65" s="38"/>
    </row>
    <row r="66" spans="1:19" x14ac:dyDescent="0.3">
      <c r="A66" s="12" t="s">
        <v>105</v>
      </c>
      <c r="B66" s="40" t="s">
        <v>103</v>
      </c>
      <c r="C66" s="40" t="s">
        <v>103</v>
      </c>
      <c r="D66" s="40" t="s">
        <v>103</v>
      </c>
      <c r="E66" s="40" t="s">
        <v>103</v>
      </c>
      <c r="F66" s="40" t="s">
        <v>103</v>
      </c>
      <c r="G66" s="40" t="s">
        <v>103</v>
      </c>
      <c r="H66" s="40" t="s">
        <v>103</v>
      </c>
      <c r="I66" s="40" t="s">
        <v>103</v>
      </c>
      <c r="J66" s="40" t="s">
        <v>103</v>
      </c>
      <c r="K66" s="85" t="s">
        <v>103</v>
      </c>
      <c r="L66" s="40" t="s">
        <v>103</v>
      </c>
      <c r="M66" s="40" t="s">
        <v>103</v>
      </c>
      <c r="N66" s="40"/>
      <c r="O66" s="40"/>
      <c r="P66" s="40"/>
      <c r="Q66" s="40"/>
      <c r="R66" s="40"/>
    </row>
    <row r="67" spans="1:19" x14ac:dyDescent="0.3">
      <c r="A67" s="12" t="s">
        <v>104</v>
      </c>
      <c r="B67" s="40" t="s">
        <v>103</v>
      </c>
      <c r="C67" s="40" t="s">
        <v>103</v>
      </c>
      <c r="D67" s="40" t="s">
        <v>103</v>
      </c>
      <c r="E67" s="40" t="s">
        <v>103</v>
      </c>
      <c r="F67" s="40" t="s">
        <v>103</v>
      </c>
      <c r="G67" s="40" t="s">
        <v>103</v>
      </c>
      <c r="H67" s="40" t="s">
        <v>103</v>
      </c>
      <c r="I67" s="40" t="s">
        <v>103</v>
      </c>
      <c r="J67" s="40" t="s">
        <v>103</v>
      </c>
      <c r="K67" s="46" t="s">
        <v>103</v>
      </c>
      <c r="L67" s="40" t="s">
        <v>103</v>
      </c>
      <c r="M67" s="40" t="s">
        <v>103</v>
      </c>
      <c r="N67" s="40"/>
      <c r="O67" s="40"/>
      <c r="P67" s="40"/>
      <c r="Q67" s="40"/>
      <c r="R67" s="40"/>
    </row>
    <row r="68" spans="1:19" x14ac:dyDescent="0.3">
      <c r="A68" s="30"/>
      <c r="B68" s="40"/>
      <c r="C68" s="40"/>
      <c r="D68" s="40"/>
      <c r="E68" s="40"/>
      <c r="F68" s="40"/>
      <c r="G68" s="40"/>
      <c r="H68" s="40"/>
      <c r="I68" s="40"/>
      <c r="J68" s="40"/>
      <c r="K68" s="46"/>
      <c r="L68" s="40"/>
      <c r="M68" s="40"/>
      <c r="N68" s="40"/>
      <c r="O68" s="40"/>
      <c r="P68" s="40"/>
      <c r="Q68" s="40"/>
      <c r="R68" s="40"/>
    </row>
    <row r="69" spans="1:19" x14ac:dyDescent="0.3">
      <c r="A69" s="17" t="s">
        <v>102</v>
      </c>
      <c r="B69" s="38"/>
      <c r="C69" s="38"/>
      <c r="D69" s="38"/>
      <c r="E69" s="38"/>
      <c r="F69" s="38"/>
      <c r="G69" s="38"/>
      <c r="H69" s="38"/>
      <c r="I69" s="38"/>
      <c r="J69" s="38"/>
      <c r="K69" s="46"/>
      <c r="L69" s="38"/>
      <c r="M69" s="38"/>
      <c r="N69" s="38"/>
      <c r="O69" s="38"/>
      <c r="P69" s="38"/>
      <c r="Q69" s="38"/>
      <c r="R69" s="38"/>
    </row>
    <row r="70" spans="1:19" ht="16.2" x14ac:dyDescent="0.3">
      <c r="A70" s="84" t="s">
        <v>101</v>
      </c>
      <c r="B70" s="83">
        <f>+B71+B74</f>
        <v>212751</v>
      </c>
      <c r="C70" s="83">
        <f>+C71+C74</f>
        <v>180042</v>
      </c>
      <c r="D70" s="83">
        <f>+D71+D74</f>
        <v>217189</v>
      </c>
      <c r="E70" s="83">
        <f>+E71+E74</f>
        <v>229814</v>
      </c>
      <c r="F70" s="83">
        <f>+F71+F74</f>
        <v>259567</v>
      </c>
      <c r="G70" s="83">
        <f>+G71+G74</f>
        <v>251912</v>
      </c>
      <c r="H70" s="83">
        <f>+H71+H74</f>
        <v>257189</v>
      </c>
      <c r="I70" s="83">
        <f>+I71+I74</f>
        <v>243492</v>
      </c>
      <c r="J70" s="83">
        <f>+J71+J74</f>
        <v>223502</v>
      </c>
      <c r="K70" s="83">
        <f>+K71+K74</f>
        <v>216038</v>
      </c>
      <c r="L70" s="83">
        <f>+L71+L74</f>
        <v>207984</v>
      </c>
      <c r="M70" s="83">
        <f>+M71+M74</f>
        <v>209369</v>
      </c>
      <c r="N70" s="82">
        <f>SUM(B70:M70)</f>
        <v>2708849</v>
      </c>
      <c r="O70" s="82"/>
      <c r="P70" s="82"/>
      <c r="Q70" s="82"/>
      <c r="R70" s="82"/>
      <c r="S70" s="10">
        <v>1</v>
      </c>
    </row>
    <row r="71" spans="1:19" x14ac:dyDescent="0.3">
      <c r="A71" s="21" t="s">
        <v>100</v>
      </c>
      <c r="B71" s="38">
        <v>212751</v>
      </c>
      <c r="C71" s="38">
        <v>180042</v>
      </c>
      <c r="D71" s="38">
        <v>217189</v>
      </c>
      <c r="E71" s="38">
        <v>229814</v>
      </c>
      <c r="F71" s="38">
        <v>259567</v>
      </c>
      <c r="G71" s="38">
        <v>251912</v>
      </c>
      <c r="H71" s="38">
        <v>257189</v>
      </c>
      <c r="I71" s="38">
        <v>243492</v>
      </c>
      <c r="J71" s="38">
        <v>223502</v>
      </c>
      <c r="K71" s="38">
        <v>216038</v>
      </c>
      <c r="L71" s="38">
        <v>207984</v>
      </c>
      <c r="M71" s="38">
        <v>209369</v>
      </c>
      <c r="N71" s="38"/>
      <c r="O71" s="38"/>
      <c r="P71" s="38"/>
      <c r="Q71" s="38"/>
      <c r="R71" s="38"/>
    </row>
    <row r="72" spans="1:19" x14ac:dyDescent="0.3">
      <c r="A72" s="21" t="s">
        <v>99</v>
      </c>
      <c r="B72" s="38">
        <v>0</v>
      </c>
      <c r="C72" s="38">
        <v>0</v>
      </c>
      <c r="D72" s="11"/>
      <c r="E72" s="38"/>
      <c r="F72" s="38"/>
      <c r="G72" s="11"/>
      <c r="H72" s="38"/>
      <c r="I72" s="38"/>
      <c r="J72" s="11"/>
      <c r="K72" s="46"/>
      <c r="L72" s="38"/>
      <c r="M72" s="38"/>
      <c r="N72" s="38"/>
      <c r="O72" s="38"/>
      <c r="P72" s="38"/>
      <c r="Q72" s="38"/>
      <c r="R72" s="38"/>
    </row>
    <row r="73" spans="1:19" x14ac:dyDescent="0.3">
      <c r="A73" s="21" t="s">
        <v>98</v>
      </c>
      <c r="B73" s="38">
        <v>0</v>
      </c>
      <c r="C73" s="38">
        <v>0</v>
      </c>
      <c r="D73" s="11"/>
      <c r="E73" s="40"/>
      <c r="F73" s="40"/>
      <c r="G73" s="11"/>
      <c r="H73" s="40"/>
      <c r="I73" s="38"/>
      <c r="J73" s="11"/>
      <c r="K73" s="46"/>
      <c r="L73" s="38"/>
      <c r="M73" s="38"/>
      <c r="N73" s="38"/>
      <c r="O73" s="38"/>
      <c r="P73" s="38"/>
      <c r="Q73" s="38"/>
      <c r="R73" s="38"/>
    </row>
    <row r="74" spans="1:19" x14ac:dyDescent="0.3">
      <c r="A74" s="81" t="s">
        <v>97</v>
      </c>
      <c r="B74" s="38">
        <v>0</v>
      </c>
      <c r="C74" s="38">
        <v>0</v>
      </c>
      <c r="D74" s="11"/>
      <c r="E74" s="11"/>
      <c r="F74" s="11"/>
      <c r="G74" s="11"/>
      <c r="H74" s="11"/>
      <c r="I74" s="38"/>
      <c r="J74" s="11"/>
      <c r="K74" s="26"/>
      <c r="L74" s="38"/>
      <c r="M74" s="38"/>
      <c r="N74" s="38"/>
      <c r="O74" s="38"/>
      <c r="P74" s="38"/>
      <c r="Q74" s="38"/>
      <c r="R74" s="38"/>
    </row>
    <row r="75" spans="1:19" x14ac:dyDescent="0.3">
      <c r="A75" s="80"/>
      <c r="B75" s="79"/>
      <c r="C75" s="79"/>
      <c r="D75" s="40"/>
      <c r="E75" s="40"/>
      <c r="F75" s="79"/>
      <c r="G75" s="40"/>
      <c r="H75" s="40"/>
      <c r="I75" s="79"/>
      <c r="J75" s="40"/>
      <c r="K75" s="46"/>
      <c r="L75" s="79"/>
      <c r="M75" s="79"/>
      <c r="N75" s="79"/>
      <c r="O75" s="79"/>
      <c r="P75" s="79"/>
      <c r="Q75" s="79"/>
      <c r="R75" s="79"/>
    </row>
    <row r="76" spans="1:19" ht="15.6" x14ac:dyDescent="0.3">
      <c r="A76" s="25" t="s">
        <v>96</v>
      </c>
      <c r="B76" s="76">
        <f>+B77+B78+B79+B80+B81</f>
        <v>141307</v>
      </c>
      <c r="C76" s="76">
        <f>SUM(C77:C81)</f>
        <v>125196</v>
      </c>
      <c r="D76" s="76">
        <f>SUM(D77:D81)</f>
        <v>128286</v>
      </c>
      <c r="E76" s="76">
        <f>SUM(E77:E81)</f>
        <v>135309</v>
      </c>
      <c r="F76" s="76">
        <f>SUM(F77:F81)</f>
        <v>147391</v>
      </c>
      <c r="G76" s="76">
        <f>SUM(G77:G81)</f>
        <v>164655</v>
      </c>
      <c r="H76" s="76">
        <f>SUM(H77:H81)</f>
        <v>161389</v>
      </c>
      <c r="I76" s="76">
        <f>SUM(I77:I81)</f>
        <v>143315</v>
      </c>
      <c r="J76" s="76">
        <f>SUM(J77:J81)</f>
        <v>139316</v>
      </c>
      <c r="K76" s="76">
        <f>SUM(K77:K81)</f>
        <v>137603</v>
      </c>
      <c r="L76" s="76">
        <f>SUM(L77:L81)</f>
        <v>126674</v>
      </c>
      <c r="M76" s="76">
        <f>SUM(M77:M81)</f>
        <v>118434</v>
      </c>
      <c r="N76" s="76">
        <f>SUM(N77:N81)</f>
        <v>1668875</v>
      </c>
      <c r="O76" s="47"/>
      <c r="P76" s="47"/>
      <c r="Q76" s="47"/>
      <c r="R76" s="47"/>
      <c r="S76" s="10">
        <v>2</v>
      </c>
    </row>
    <row r="77" spans="1:19" x14ac:dyDescent="0.3">
      <c r="A77" s="21" t="s">
        <v>82</v>
      </c>
      <c r="B77" s="75">
        <v>128798</v>
      </c>
      <c r="C77" s="75">
        <v>112498</v>
      </c>
      <c r="D77" s="75">
        <v>113852</v>
      </c>
      <c r="E77" s="75">
        <v>121196</v>
      </c>
      <c r="F77" s="75">
        <v>133165</v>
      </c>
      <c r="G77" s="75">
        <v>146953</v>
      </c>
      <c r="H77" s="75">
        <v>144703</v>
      </c>
      <c r="I77" s="75">
        <v>128049</v>
      </c>
      <c r="J77" s="75">
        <v>124836</v>
      </c>
      <c r="K77" s="75">
        <v>122499</v>
      </c>
      <c r="L77" s="75">
        <v>113658</v>
      </c>
      <c r="M77" s="75">
        <v>103329</v>
      </c>
      <c r="N77" s="75">
        <f>SUM(B77:M77)</f>
        <v>1493536</v>
      </c>
      <c r="O77" s="38"/>
      <c r="P77" s="38"/>
      <c r="Q77" s="38"/>
      <c r="R77" s="38"/>
    </row>
    <row r="78" spans="1:19" x14ac:dyDescent="0.3">
      <c r="A78" s="21" t="s">
        <v>81</v>
      </c>
      <c r="B78" s="75">
        <v>4258</v>
      </c>
      <c r="C78" s="75">
        <v>3829</v>
      </c>
      <c r="D78" s="75">
        <v>4468</v>
      </c>
      <c r="E78" s="75">
        <v>4293</v>
      </c>
      <c r="F78" s="75">
        <v>5295</v>
      </c>
      <c r="G78" s="75">
        <v>5816</v>
      </c>
      <c r="H78" s="75">
        <v>5903</v>
      </c>
      <c r="I78" s="75">
        <v>4488</v>
      </c>
      <c r="J78" s="75">
        <v>4772</v>
      </c>
      <c r="K78" s="75">
        <v>4278</v>
      </c>
      <c r="L78" s="75">
        <v>4131</v>
      </c>
      <c r="M78" s="75">
        <v>3497</v>
      </c>
      <c r="N78" s="75">
        <f>SUM(B78:M78)</f>
        <v>55028</v>
      </c>
      <c r="O78" s="38"/>
      <c r="P78" s="38"/>
      <c r="Q78" s="38"/>
      <c r="R78" s="38"/>
    </row>
    <row r="79" spans="1:19" x14ac:dyDescent="0.3">
      <c r="A79" s="21" t="s">
        <v>80</v>
      </c>
      <c r="B79" s="75">
        <v>582</v>
      </c>
      <c r="C79" s="75">
        <v>628</v>
      </c>
      <c r="D79" s="75">
        <v>683</v>
      </c>
      <c r="E79" s="75">
        <v>661</v>
      </c>
      <c r="F79" s="75">
        <v>777</v>
      </c>
      <c r="G79" s="75">
        <v>919</v>
      </c>
      <c r="H79" s="75">
        <v>836</v>
      </c>
      <c r="I79" s="75">
        <v>1042</v>
      </c>
      <c r="J79" s="75">
        <v>831</v>
      </c>
      <c r="K79" s="75">
        <v>763</v>
      </c>
      <c r="L79" s="75">
        <v>825</v>
      </c>
      <c r="M79" s="75">
        <v>616</v>
      </c>
      <c r="N79" s="75">
        <f>SUM(B79:M79)</f>
        <v>9163</v>
      </c>
      <c r="O79" s="38"/>
      <c r="P79" s="38"/>
      <c r="Q79" s="38"/>
      <c r="R79" s="38"/>
    </row>
    <row r="80" spans="1:19" x14ac:dyDescent="0.3">
      <c r="A80" s="21" t="s">
        <v>79</v>
      </c>
      <c r="B80" s="75">
        <v>2889</v>
      </c>
      <c r="C80" s="75">
        <v>4314</v>
      </c>
      <c r="D80" s="75">
        <v>4806</v>
      </c>
      <c r="E80" s="75">
        <v>4645</v>
      </c>
      <c r="F80" s="75">
        <v>3254</v>
      </c>
      <c r="G80" s="75">
        <v>4403</v>
      </c>
      <c r="H80" s="75">
        <v>4927</v>
      </c>
      <c r="I80" s="75">
        <v>3613</v>
      </c>
      <c r="J80" s="75">
        <v>3818</v>
      </c>
      <c r="K80" s="75">
        <v>5022</v>
      </c>
      <c r="L80" s="75">
        <v>3766</v>
      </c>
      <c r="M80" s="75">
        <v>6261</v>
      </c>
      <c r="N80" s="75">
        <f>SUM(B80:M80)</f>
        <v>51718</v>
      </c>
      <c r="O80" s="38"/>
      <c r="P80" s="38"/>
      <c r="Q80" s="38"/>
      <c r="R80" s="38"/>
      <c r="S80" s="10">
        <v>22</v>
      </c>
    </row>
    <row r="81" spans="1:19" x14ac:dyDescent="0.3">
      <c r="A81" s="21" t="s">
        <v>78</v>
      </c>
      <c r="B81" s="75">
        <v>4780</v>
      </c>
      <c r="C81" s="75">
        <v>3927</v>
      </c>
      <c r="D81" s="75">
        <v>4477</v>
      </c>
      <c r="E81" s="75">
        <v>4514</v>
      </c>
      <c r="F81" s="75">
        <v>4900</v>
      </c>
      <c r="G81" s="75">
        <v>6564</v>
      </c>
      <c r="H81" s="75">
        <v>5020</v>
      </c>
      <c r="I81" s="75">
        <v>6123</v>
      </c>
      <c r="J81" s="75">
        <v>5059</v>
      </c>
      <c r="K81" s="75">
        <v>5041</v>
      </c>
      <c r="L81" s="75">
        <v>4294</v>
      </c>
      <c r="M81" s="75">
        <v>4731</v>
      </c>
      <c r="N81" s="75">
        <f>SUM(B81:M81)</f>
        <v>59430</v>
      </c>
      <c r="O81" s="38"/>
      <c r="P81" s="38"/>
      <c r="Q81" s="38"/>
      <c r="R81" s="38"/>
      <c r="S81" s="10">
        <v>22</v>
      </c>
    </row>
    <row r="82" spans="1:19" x14ac:dyDescent="0.3">
      <c r="A82" s="45"/>
      <c r="B82" s="38"/>
      <c r="C82" s="38"/>
      <c r="D82" s="38"/>
      <c r="E82" s="38"/>
      <c r="F82" s="38"/>
      <c r="G82" s="38"/>
      <c r="H82" s="38"/>
      <c r="I82" s="38"/>
      <c r="J82" s="38"/>
      <c r="K82" s="46"/>
      <c r="L82" s="38"/>
      <c r="M82" s="38"/>
      <c r="N82" s="38"/>
      <c r="O82" s="38"/>
      <c r="P82" s="38"/>
      <c r="Q82" s="38"/>
      <c r="R82" s="38"/>
    </row>
    <row r="83" spans="1:19" x14ac:dyDescent="0.3">
      <c r="A83" s="78"/>
      <c r="B83" s="77"/>
      <c r="C83" s="77"/>
      <c r="D83" s="77"/>
      <c r="E83" s="77"/>
      <c r="F83" s="77"/>
      <c r="G83" s="77"/>
      <c r="H83" s="77"/>
      <c r="I83" s="77"/>
      <c r="J83" s="77"/>
      <c r="K83" s="46"/>
      <c r="L83" s="77"/>
      <c r="M83" s="77"/>
      <c r="N83" s="77"/>
      <c r="O83" s="77"/>
      <c r="P83" s="77"/>
      <c r="Q83" s="77"/>
      <c r="R83" s="77"/>
    </row>
    <row r="84" spans="1:19" ht="15.6" x14ac:dyDescent="0.3">
      <c r="A84" s="25" t="s">
        <v>95</v>
      </c>
      <c r="B84" s="76">
        <f>+B85+B86</f>
        <v>93521</v>
      </c>
      <c r="C84" s="76">
        <f>SUM(C85:C86)</f>
        <v>68361</v>
      </c>
      <c r="D84" s="76">
        <f>SUM(D85:D86)</f>
        <v>87007</v>
      </c>
      <c r="E84" s="76">
        <f>SUM(E85:E86)</f>
        <v>77910</v>
      </c>
      <c r="F84" s="76">
        <f>SUM(F85:F86)</f>
        <v>86253</v>
      </c>
      <c r="G84" s="76">
        <f>SUM(G85:G86)</f>
        <v>92021</v>
      </c>
      <c r="H84" s="76">
        <f>SUM(H85:H86)</f>
        <v>89036</v>
      </c>
      <c r="I84" s="76">
        <f>SUM(I85:I86)</f>
        <v>86418</v>
      </c>
      <c r="J84" s="76">
        <f>SUM(J85:J86)</f>
        <v>75710</v>
      </c>
      <c r="K84" s="76">
        <f>SUM(K85:K86)</f>
        <v>80898</v>
      </c>
      <c r="L84" s="76">
        <f>SUM(L85:L86)</f>
        <v>77861</v>
      </c>
      <c r="M84" s="76">
        <f>SUM(M85:M86)</f>
        <v>71565</v>
      </c>
      <c r="N84" s="76">
        <f>SUM(B84:M84)</f>
        <v>986561</v>
      </c>
      <c r="O84" s="47"/>
      <c r="P84" s="47"/>
      <c r="Q84" s="47"/>
      <c r="R84" s="47"/>
    </row>
    <row r="85" spans="1:19" x14ac:dyDescent="0.3">
      <c r="A85" s="21" t="s">
        <v>94</v>
      </c>
      <c r="B85" s="75">
        <v>81405</v>
      </c>
      <c r="C85" s="75">
        <v>61069</v>
      </c>
      <c r="D85" s="75">
        <v>77625</v>
      </c>
      <c r="E85" s="75">
        <v>64890</v>
      </c>
      <c r="F85" s="75">
        <v>77675</v>
      </c>
      <c r="G85" s="75">
        <v>82768</v>
      </c>
      <c r="H85" s="75">
        <v>80063</v>
      </c>
      <c r="I85" s="75">
        <v>75005</v>
      </c>
      <c r="J85" s="75">
        <v>67866</v>
      </c>
      <c r="K85" s="75">
        <v>72945</v>
      </c>
      <c r="L85" s="75">
        <v>69444</v>
      </c>
      <c r="M85" s="75">
        <v>62720</v>
      </c>
      <c r="N85" s="75">
        <f>SUM(B85:M85)</f>
        <v>873475</v>
      </c>
      <c r="O85" s="38"/>
      <c r="P85" s="38"/>
      <c r="Q85" s="38"/>
      <c r="R85" s="38"/>
      <c r="S85" s="10">
        <v>3</v>
      </c>
    </row>
    <row r="86" spans="1:19" x14ac:dyDescent="0.3">
      <c r="A86" s="21" t="s">
        <v>93</v>
      </c>
      <c r="B86" s="75">
        <v>12116</v>
      </c>
      <c r="C86" s="75">
        <v>7292</v>
      </c>
      <c r="D86" s="75">
        <v>9382</v>
      </c>
      <c r="E86" s="75">
        <v>13020</v>
      </c>
      <c r="F86" s="75">
        <v>8578</v>
      </c>
      <c r="G86" s="75">
        <v>9253</v>
      </c>
      <c r="H86" s="75">
        <v>8973</v>
      </c>
      <c r="I86" s="75">
        <v>11413</v>
      </c>
      <c r="J86" s="75">
        <v>7844</v>
      </c>
      <c r="K86" s="75">
        <v>7953</v>
      </c>
      <c r="L86" s="75">
        <v>8417</v>
      </c>
      <c r="M86" s="75">
        <v>8845</v>
      </c>
      <c r="N86" s="75">
        <f>SUM(B86:M86)</f>
        <v>113086</v>
      </c>
      <c r="O86" s="38"/>
      <c r="P86" s="38"/>
      <c r="Q86" s="38"/>
      <c r="R86" s="38"/>
      <c r="S86" s="10">
        <v>4</v>
      </c>
    </row>
    <row r="87" spans="1:19" x14ac:dyDescent="0.3">
      <c r="A87" s="44"/>
      <c r="B87" s="74"/>
      <c r="C87" s="74"/>
      <c r="D87" s="74"/>
      <c r="E87" s="74"/>
      <c r="F87" s="74"/>
      <c r="G87" s="74"/>
      <c r="H87" s="74"/>
      <c r="I87" s="74"/>
      <c r="J87" s="74"/>
      <c r="K87" s="46"/>
      <c r="L87" s="74"/>
      <c r="M87" s="74"/>
      <c r="N87" s="74"/>
      <c r="O87" s="74"/>
      <c r="P87" s="74"/>
      <c r="Q87" s="74"/>
      <c r="R87" s="74"/>
    </row>
    <row r="88" spans="1:19" x14ac:dyDescent="0.3">
      <c r="A88" s="17" t="s">
        <v>92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9" ht="15.6" x14ac:dyDescent="0.3">
      <c r="A89" s="73" t="s">
        <v>91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9" ht="15" x14ac:dyDescent="0.3">
      <c r="A90" s="72" t="s">
        <v>90</v>
      </c>
      <c r="B90" s="71">
        <f>B71*0.8</f>
        <v>170200.80000000002</v>
      </c>
      <c r="C90" s="71">
        <f>C71*0.8</f>
        <v>144033.60000000001</v>
      </c>
      <c r="D90" s="71">
        <f>D71*0.8</f>
        <v>173751.2</v>
      </c>
      <c r="E90" s="71">
        <f>E71*0.8</f>
        <v>183851.2</v>
      </c>
      <c r="F90" s="71">
        <f>F71*0.8</f>
        <v>207653.6</v>
      </c>
      <c r="G90" s="71">
        <f>G71*0.8</f>
        <v>201529.60000000001</v>
      </c>
      <c r="H90" s="71">
        <f>H71*0.8</f>
        <v>205751.2</v>
      </c>
      <c r="I90" s="71">
        <f>I71*0.8</f>
        <v>194793.60000000001</v>
      </c>
      <c r="J90" s="71">
        <f>J71*0.8</f>
        <v>178801.6</v>
      </c>
      <c r="K90" s="71">
        <f>K71*0.8</f>
        <v>172830.40000000002</v>
      </c>
      <c r="L90" s="71">
        <f>L71*0.8</f>
        <v>166387.20000000001</v>
      </c>
      <c r="M90" s="71">
        <f>M71*0.8</f>
        <v>167495.20000000001</v>
      </c>
      <c r="N90" s="71">
        <f>SUM(B90:M90)</f>
        <v>2167079.2000000002</v>
      </c>
      <c r="O90" s="71"/>
      <c r="P90" s="71"/>
      <c r="Q90" s="71"/>
      <c r="R90" s="71"/>
    </row>
    <row r="91" spans="1:19" ht="15" x14ac:dyDescent="0.3">
      <c r="A91" s="72" t="s">
        <v>89</v>
      </c>
      <c r="B91" s="71">
        <f>B70*0.75</f>
        <v>159563.25</v>
      </c>
      <c r="C91" s="71">
        <f>C70*0.75</f>
        <v>135031.5</v>
      </c>
      <c r="D91" s="71">
        <f>D70*0.75</f>
        <v>162891.75</v>
      </c>
      <c r="E91" s="71">
        <f>E70*0.75</f>
        <v>172360.5</v>
      </c>
      <c r="F91" s="71">
        <f>F70*0.75</f>
        <v>194675.25</v>
      </c>
      <c r="G91" s="71">
        <f>G70*0.75</f>
        <v>188934</v>
      </c>
      <c r="H91" s="71">
        <f>H70*0.75</f>
        <v>192891.75</v>
      </c>
      <c r="I91" s="71">
        <f>I70*0.75</f>
        <v>182619</v>
      </c>
      <c r="J91" s="71">
        <f>J70*0.75</f>
        <v>167626.5</v>
      </c>
      <c r="K91" s="71">
        <f>K70*0.75</f>
        <v>162028.5</v>
      </c>
      <c r="L91" s="71">
        <f>L70*0.75</f>
        <v>155988</v>
      </c>
      <c r="M91" s="71">
        <f>M70*0.75</f>
        <v>157026.75</v>
      </c>
      <c r="N91" s="71">
        <f>SUM(B91:M91)</f>
        <v>2031636.75</v>
      </c>
      <c r="O91" s="71"/>
      <c r="P91" s="71"/>
      <c r="Q91" s="71"/>
      <c r="R91" s="71"/>
    </row>
    <row r="92" spans="1:19" ht="15" x14ac:dyDescent="0.3">
      <c r="A92" s="70" t="s">
        <v>88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64">
        <v>0</v>
      </c>
      <c r="I92" s="38">
        <v>0</v>
      </c>
      <c r="J92" s="38">
        <v>0</v>
      </c>
      <c r="K92" s="46">
        <v>0</v>
      </c>
      <c r="L92" s="38">
        <v>0</v>
      </c>
      <c r="M92" s="38">
        <v>0</v>
      </c>
      <c r="N92" s="38"/>
      <c r="O92" s="38"/>
      <c r="P92" s="38"/>
      <c r="Q92" s="38"/>
      <c r="R92" s="38"/>
    </row>
    <row r="93" spans="1:19" ht="15" x14ac:dyDescent="0.3">
      <c r="A93" s="70" t="s">
        <v>87</v>
      </c>
      <c r="B93" s="38">
        <v>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46">
        <v>0</v>
      </c>
      <c r="L93" s="38">
        <v>0</v>
      </c>
      <c r="M93" s="38">
        <v>0</v>
      </c>
      <c r="N93" s="38"/>
      <c r="O93" s="38"/>
      <c r="P93" s="38"/>
      <c r="Q93" s="38"/>
      <c r="R93" s="38"/>
    </row>
    <row r="94" spans="1:19" ht="15" x14ac:dyDescent="0.3">
      <c r="A94" s="69" t="s">
        <v>86</v>
      </c>
      <c r="B94" s="38">
        <f>+B91-B92-B93</f>
        <v>159563.25</v>
      </c>
      <c r="C94" s="38">
        <f>+C91-C92-C93</f>
        <v>135031.5</v>
      </c>
      <c r="D94" s="38">
        <f>+D91-D92-D93</f>
        <v>162891.75</v>
      </c>
      <c r="E94" s="38">
        <f>+E91-E92-E93</f>
        <v>172360.5</v>
      </c>
      <c r="F94" s="38">
        <f>+F91-F92-F93</f>
        <v>194675.25</v>
      </c>
      <c r="G94" s="38">
        <f>+G91-G92-G93</f>
        <v>188934</v>
      </c>
      <c r="H94" s="38">
        <f>+H91-H92-H93</f>
        <v>192891.75</v>
      </c>
      <c r="I94" s="38">
        <f>+I91-I92-I93</f>
        <v>182619</v>
      </c>
      <c r="J94" s="38">
        <f>+J91-J92-J93</f>
        <v>167626.5</v>
      </c>
      <c r="K94" s="38">
        <f>+K91-K92-K93</f>
        <v>162028.5</v>
      </c>
      <c r="L94" s="38">
        <f>+L91-L92-L93</f>
        <v>155988</v>
      </c>
      <c r="M94" s="38">
        <f>+M91-M92-M93</f>
        <v>157026.75</v>
      </c>
      <c r="N94" s="38"/>
      <c r="O94" s="38"/>
      <c r="P94" s="38"/>
      <c r="Q94" s="38"/>
      <c r="R94" s="38"/>
    </row>
    <row r="95" spans="1:19" ht="15" x14ac:dyDescent="0.3">
      <c r="A95" s="69"/>
      <c r="B95" s="38"/>
      <c r="C95" s="38"/>
      <c r="D95" s="38"/>
      <c r="E95" s="38"/>
      <c r="F95" s="38"/>
      <c r="G95" s="38"/>
      <c r="H95" s="38"/>
      <c r="I95" s="38"/>
      <c r="J95" s="38"/>
      <c r="K95" s="46"/>
      <c r="L95" s="38"/>
      <c r="M95" s="38"/>
      <c r="N95" s="38"/>
      <c r="O95" s="38"/>
      <c r="P95" s="38"/>
      <c r="Q95" s="38"/>
      <c r="R95" s="38"/>
    </row>
    <row r="96" spans="1:19" x14ac:dyDescent="0.3">
      <c r="A96" s="17" t="s">
        <v>85</v>
      </c>
      <c r="B96" s="68"/>
      <c r="C96" s="68"/>
      <c r="D96" s="68"/>
      <c r="E96" s="68"/>
      <c r="F96" s="68"/>
      <c r="G96" s="68"/>
      <c r="H96" s="68"/>
      <c r="I96" s="68"/>
      <c r="J96" s="68"/>
      <c r="K96" s="46"/>
      <c r="L96" s="68"/>
      <c r="M96" s="68"/>
      <c r="N96" s="68"/>
      <c r="O96" s="68"/>
      <c r="P96" s="68"/>
      <c r="Q96" s="68"/>
      <c r="R96" s="68"/>
    </row>
    <row r="97" spans="1:19" ht="15.6" x14ac:dyDescent="0.3">
      <c r="A97" s="25" t="s">
        <v>84</v>
      </c>
      <c r="B97" s="47">
        <f>SUM(B98:B102)</f>
        <v>2414013.1</v>
      </c>
      <c r="C97" s="47">
        <f>SUM(C98:C102)</f>
        <v>2226928.9900000002</v>
      </c>
      <c r="D97" s="47">
        <f>SUM(D98:D102)</f>
        <v>2306208.9500000002</v>
      </c>
      <c r="E97" s="47">
        <f>SUM(E98:E102)</f>
        <v>2372667.42</v>
      </c>
      <c r="F97" s="47">
        <f>SUM(F98:F102)</f>
        <v>2557876.8099999996</v>
      </c>
      <c r="G97" s="47">
        <f>SUM(G98:G102)</f>
        <v>2800634.31</v>
      </c>
      <c r="H97" s="47">
        <f>SUM(H98:H102)</f>
        <v>2795155.16</v>
      </c>
      <c r="I97" s="47">
        <f>SUM(I98:I102)</f>
        <v>2556453.96</v>
      </c>
      <c r="J97" s="47">
        <f>SUM(J98:J102)</f>
        <v>2521507.9699999997</v>
      </c>
      <c r="K97" s="47">
        <f>SUM(K98:K102)</f>
        <v>2519523.5900000003</v>
      </c>
      <c r="L97" s="47">
        <f>SUM(L98:L102)</f>
        <v>2387567.6900000004</v>
      </c>
      <c r="M97" s="47">
        <f>SUM(M98:M102)</f>
        <v>2305096.4799999995</v>
      </c>
      <c r="N97" s="47">
        <f>SUM(B97:M97)</f>
        <v>29763634.430000003</v>
      </c>
      <c r="O97" s="47"/>
      <c r="P97" s="47"/>
      <c r="Q97" s="47"/>
      <c r="R97" s="47"/>
    </row>
    <row r="98" spans="1:19" x14ac:dyDescent="0.3">
      <c r="A98" s="21" t="s">
        <v>82</v>
      </c>
      <c r="B98" s="38">
        <v>2221469.27</v>
      </c>
      <c r="C98" s="38">
        <v>2029886.85</v>
      </c>
      <c r="D98" s="38">
        <v>2081214.41</v>
      </c>
      <c r="E98" s="38">
        <v>2160997.46</v>
      </c>
      <c r="F98" s="38">
        <v>2335151.37</v>
      </c>
      <c r="G98" s="38">
        <v>2523131.87</v>
      </c>
      <c r="H98" s="38">
        <v>2514859.89</v>
      </c>
      <c r="I98" s="38">
        <v>2304411.81</v>
      </c>
      <c r="J98" s="38">
        <v>2280491.2999999998</v>
      </c>
      <c r="K98" s="38">
        <v>2278515.92</v>
      </c>
      <c r="L98" s="38">
        <v>2172470.2000000002</v>
      </c>
      <c r="M98" s="38">
        <v>2061984.25</v>
      </c>
      <c r="N98" s="38"/>
      <c r="O98" s="38"/>
      <c r="P98" s="38"/>
      <c r="Q98" s="38"/>
      <c r="R98" s="38"/>
      <c r="S98" s="10">
        <v>5</v>
      </c>
    </row>
    <row r="99" spans="1:19" x14ac:dyDescent="0.3">
      <c r="A99" s="21" t="s">
        <v>81</v>
      </c>
      <c r="B99" s="38">
        <v>106832.54</v>
      </c>
      <c r="C99" s="38">
        <v>99797.69</v>
      </c>
      <c r="D99" s="38">
        <v>115893.13</v>
      </c>
      <c r="E99" s="38">
        <v>107124.13</v>
      </c>
      <c r="F99" s="38">
        <v>125095.26</v>
      </c>
      <c r="G99" s="38">
        <v>137999.95000000001</v>
      </c>
      <c r="H99" s="38">
        <v>152227.29</v>
      </c>
      <c r="I99" s="38">
        <v>114621.42</v>
      </c>
      <c r="J99" s="38">
        <v>128460.65</v>
      </c>
      <c r="K99" s="38">
        <v>112104.27</v>
      </c>
      <c r="L99" s="38">
        <v>109558.62</v>
      </c>
      <c r="M99" s="38">
        <v>99399.07</v>
      </c>
      <c r="N99" s="38"/>
      <c r="O99" s="38"/>
      <c r="P99" s="38"/>
      <c r="Q99" s="38"/>
      <c r="R99" s="38"/>
      <c r="S99" s="10">
        <v>5</v>
      </c>
    </row>
    <row r="100" spans="1:19" x14ac:dyDescent="0.3">
      <c r="A100" s="21" t="s">
        <v>80</v>
      </c>
      <c r="B100" s="38">
        <v>20206.009999999998</v>
      </c>
      <c r="C100" s="38">
        <v>21880.16</v>
      </c>
      <c r="D100" s="38">
        <v>24408.42</v>
      </c>
      <c r="E100" s="38">
        <v>24622.73</v>
      </c>
      <c r="F100" s="38">
        <v>30070.78</v>
      </c>
      <c r="G100" s="38">
        <v>38123.32</v>
      </c>
      <c r="H100" s="38">
        <v>32446.12</v>
      </c>
      <c r="I100" s="38">
        <v>44485.73</v>
      </c>
      <c r="J100" s="38">
        <v>32800.53</v>
      </c>
      <c r="K100" s="38">
        <v>31749.58</v>
      </c>
      <c r="L100" s="38">
        <v>33863.82</v>
      </c>
      <c r="M100" s="38">
        <v>25594.61</v>
      </c>
      <c r="N100" s="38"/>
      <c r="O100" s="38"/>
      <c r="P100" s="38"/>
      <c r="Q100" s="38"/>
      <c r="R100" s="38"/>
      <c r="S100" s="10">
        <v>5</v>
      </c>
    </row>
    <row r="101" spans="1:19" x14ac:dyDescent="0.3">
      <c r="A101" s="21" t="s">
        <v>79</v>
      </c>
      <c r="B101" s="38">
        <v>24617.29</v>
      </c>
      <c r="C101" s="38">
        <v>44991.45</v>
      </c>
      <c r="D101" s="38">
        <v>47701.599999999999</v>
      </c>
      <c r="E101" s="38">
        <v>44016.97</v>
      </c>
      <c r="F101" s="38">
        <v>28352.959999999999</v>
      </c>
      <c r="G101" s="38">
        <v>40473.07</v>
      </c>
      <c r="H101" s="38">
        <v>51124.11</v>
      </c>
      <c r="I101" s="38">
        <v>34472.519999999997</v>
      </c>
      <c r="J101" s="38">
        <v>36135.56</v>
      </c>
      <c r="K101" s="38">
        <v>53964.37</v>
      </c>
      <c r="L101" s="38">
        <v>37091.120000000003</v>
      </c>
      <c r="M101" s="38">
        <v>75573.69</v>
      </c>
      <c r="N101" s="38"/>
      <c r="O101" s="38"/>
      <c r="P101" s="38"/>
      <c r="Q101" s="38"/>
      <c r="R101" s="38"/>
      <c r="S101" s="10">
        <v>6</v>
      </c>
    </row>
    <row r="102" spans="1:19" x14ac:dyDescent="0.3">
      <c r="A102" s="21" t="s">
        <v>78</v>
      </c>
      <c r="B102" s="38">
        <v>40887.99</v>
      </c>
      <c r="C102" s="38">
        <v>30372.84</v>
      </c>
      <c r="D102" s="38">
        <v>36991.39</v>
      </c>
      <c r="E102" s="38">
        <v>35906.129999999997</v>
      </c>
      <c r="F102" s="38">
        <v>39206.44</v>
      </c>
      <c r="G102" s="38">
        <v>60906.1</v>
      </c>
      <c r="H102" s="38">
        <v>44497.75</v>
      </c>
      <c r="I102" s="38">
        <v>58462.48</v>
      </c>
      <c r="J102" s="38">
        <v>43619.93</v>
      </c>
      <c r="K102" s="38">
        <v>43189.45</v>
      </c>
      <c r="L102" s="38">
        <v>34583.93</v>
      </c>
      <c r="M102" s="38">
        <v>42544.86</v>
      </c>
      <c r="N102" s="38"/>
      <c r="O102" s="38"/>
      <c r="P102" s="38"/>
      <c r="Q102" s="38"/>
      <c r="R102" s="38"/>
      <c r="S102" s="10">
        <v>6</v>
      </c>
    </row>
    <row r="103" spans="1:19" x14ac:dyDescent="0.3">
      <c r="A103" s="6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1:19" ht="15.6" x14ac:dyDescent="0.3">
      <c r="A104" s="25" t="s">
        <v>83</v>
      </c>
      <c r="B104" s="47">
        <f>+B105+B106+B107+B108+B109</f>
        <v>2263622.7799999998</v>
      </c>
      <c r="C104" s="47">
        <f>+C105+C106+C107+C108+C109</f>
        <v>1359644.3199999998</v>
      </c>
      <c r="D104" s="47">
        <f>+D105+D106+D107+D108+D109</f>
        <v>1555962.0899999999</v>
      </c>
      <c r="E104" s="47">
        <f>+E105+E106+E107+E108+E109</f>
        <v>1691479.6</v>
      </c>
      <c r="F104" s="47">
        <f>+F105+F106+F107+F108+F109</f>
        <v>1533356.9400000002</v>
      </c>
      <c r="G104" s="47">
        <f>SUM(G105:G109)</f>
        <v>1562301.0199999998</v>
      </c>
      <c r="H104" s="47">
        <f>SUM(H105:H109)</f>
        <v>1598363.65</v>
      </c>
      <c r="I104" s="47">
        <f>+I105+I106+I107+I108+I109</f>
        <v>1631864.9000000001</v>
      </c>
      <c r="J104" s="47">
        <f>+J105+J106+J107+J108+J109</f>
        <v>1458100.81</v>
      </c>
      <c r="K104" s="47">
        <f>+K105+K106+K107+K108+K109</f>
        <v>1405093.07</v>
      </c>
      <c r="L104" s="47">
        <f>+L105+L106+L107+L108+L109</f>
        <v>1482809.63</v>
      </c>
      <c r="M104" s="47">
        <f>+M105+M106+M107+M108+M109</f>
        <v>1458633.0499999998</v>
      </c>
      <c r="N104" s="47">
        <f>SUM(B104:M104)</f>
        <v>19001231.859999999</v>
      </c>
      <c r="O104" s="47"/>
      <c r="P104" s="47"/>
      <c r="Q104" s="47"/>
      <c r="R104" s="47"/>
    </row>
    <row r="105" spans="1:19" ht="14.25" customHeight="1" x14ac:dyDescent="0.3">
      <c r="A105" s="21" t="s">
        <v>82</v>
      </c>
      <c r="B105" s="38">
        <v>2172920.44</v>
      </c>
      <c r="C105" s="38">
        <v>1218613.55</v>
      </c>
      <c r="D105" s="38">
        <v>1443262.26</v>
      </c>
      <c r="E105" s="38">
        <v>1358280.01</v>
      </c>
      <c r="F105" s="38">
        <f>854502.07+4999.98+9503+8543.13+496942.84+10872.95+3013.86</f>
        <v>1388377.83</v>
      </c>
      <c r="G105" s="38">
        <v>1412918.5899999999</v>
      </c>
      <c r="H105" s="38">
        <v>1445638.37</v>
      </c>
      <c r="I105" s="38">
        <v>1425331.36</v>
      </c>
      <c r="J105" s="38">
        <v>1363625.15</v>
      </c>
      <c r="K105" s="38">
        <v>1228542.26</v>
      </c>
      <c r="L105" s="38">
        <v>1375948.02</v>
      </c>
      <c r="M105" s="38">
        <v>1345622.2499999998</v>
      </c>
      <c r="N105" s="38">
        <f>SUM(B105:M105)</f>
        <v>17179080.09</v>
      </c>
      <c r="O105" s="38"/>
      <c r="P105" s="38"/>
      <c r="Q105" s="38"/>
      <c r="R105" s="38"/>
    </row>
    <row r="106" spans="1:19" x14ac:dyDescent="0.3">
      <c r="A106" s="21" t="s">
        <v>81</v>
      </c>
      <c r="B106" s="38">
        <v>73698.03</v>
      </c>
      <c r="C106" s="38">
        <v>114029.91</v>
      </c>
      <c r="D106" s="38">
        <v>88005.68</v>
      </c>
      <c r="E106" s="38">
        <v>96227.930000000008</v>
      </c>
      <c r="F106" s="38">
        <f>54317.22+507.79+25336.7+321.88</f>
        <v>80483.590000000011</v>
      </c>
      <c r="G106" s="38">
        <v>82604.67</v>
      </c>
      <c r="H106" s="38">
        <v>98409.159999999989</v>
      </c>
      <c r="I106" s="38">
        <v>118808.09999999999</v>
      </c>
      <c r="J106" s="38">
        <v>72906.439999999988</v>
      </c>
      <c r="K106" s="38">
        <v>110811.8</v>
      </c>
      <c r="L106" s="38">
        <v>69990.530000000013</v>
      </c>
      <c r="M106" s="38">
        <v>87328.51</v>
      </c>
      <c r="N106" s="38">
        <f>SUM(B106:M106)</f>
        <v>1093304.3500000001</v>
      </c>
      <c r="O106" s="38"/>
      <c r="P106" s="38"/>
      <c r="Q106" s="38"/>
      <c r="R106" s="38"/>
    </row>
    <row r="107" spans="1:19" x14ac:dyDescent="0.3">
      <c r="A107" s="21" t="s">
        <v>80</v>
      </c>
      <c r="B107" s="38">
        <v>12427.519999999999</v>
      </c>
      <c r="C107" s="38">
        <v>9367.64</v>
      </c>
      <c r="D107" s="38">
        <v>17875.580000000002</v>
      </c>
      <c r="E107" s="38">
        <v>22915.06</v>
      </c>
      <c r="F107" s="38">
        <f>13560.68+136.98+44534.67+437.74</f>
        <v>58670.07</v>
      </c>
      <c r="G107" s="38">
        <v>30481.280000000002</v>
      </c>
      <c r="H107" s="38">
        <v>21398.239999999998</v>
      </c>
      <c r="I107" s="38">
        <v>52917.020000000004</v>
      </c>
      <c r="J107" s="38">
        <v>17255.350000000002</v>
      </c>
      <c r="K107" s="38">
        <v>34109.72</v>
      </c>
      <c r="L107" s="38">
        <v>32100.69</v>
      </c>
      <c r="M107" s="38">
        <v>22340</v>
      </c>
      <c r="N107" s="38">
        <f>SUM(B107:M107)</f>
        <v>331858.17</v>
      </c>
      <c r="O107" s="38"/>
      <c r="P107" s="38"/>
      <c r="Q107" s="38"/>
      <c r="R107" s="38"/>
    </row>
    <row r="108" spans="1:19" x14ac:dyDescent="0.3">
      <c r="A108" s="21" t="s">
        <v>79</v>
      </c>
      <c r="B108" s="38">
        <v>0</v>
      </c>
      <c r="C108" s="38">
        <v>0</v>
      </c>
      <c r="D108" s="38">
        <v>3607.65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f>SUM(B108:M108)</f>
        <v>3607.65</v>
      </c>
      <c r="O108" s="38"/>
      <c r="P108" s="38"/>
      <c r="Q108" s="38"/>
      <c r="R108" s="38"/>
      <c r="S108" s="10">
        <v>7</v>
      </c>
    </row>
    <row r="109" spans="1:19" x14ac:dyDescent="0.3">
      <c r="A109" s="21" t="s">
        <v>78</v>
      </c>
      <c r="B109" s="38">
        <v>4576.79</v>
      </c>
      <c r="C109" s="38">
        <v>17633.22</v>
      </c>
      <c r="D109" s="38">
        <v>3210.92</v>
      </c>
      <c r="E109" s="38">
        <v>214056.6</v>
      </c>
      <c r="F109" s="38">
        <f>2491.76+23.78+3277.73+32.18</f>
        <v>5825.4500000000007</v>
      </c>
      <c r="G109" s="38">
        <v>36296.480000000003</v>
      </c>
      <c r="H109" s="38">
        <v>32917.879999999997</v>
      </c>
      <c r="I109" s="38">
        <v>34808.42</v>
      </c>
      <c r="J109" s="38">
        <v>4313.8700000000008</v>
      </c>
      <c r="K109" s="38">
        <v>31629.29</v>
      </c>
      <c r="L109" s="38">
        <v>4770.3899999999994</v>
      </c>
      <c r="M109" s="38">
        <v>3342.2900000000004</v>
      </c>
      <c r="N109" s="38">
        <f>SUM(B109:M109)</f>
        <v>393381.6</v>
      </c>
      <c r="O109" s="38"/>
      <c r="P109" s="38"/>
      <c r="Q109" s="38"/>
      <c r="R109" s="38"/>
      <c r="S109" s="10">
        <v>7</v>
      </c>
    </row>
    <row r="110" spans="1:19" x14ac:dyDescent="0.3">
      <c r="A110" s="65"/>
      <c r="B110" s="64"/>
      <c r="C110" s="64"/>
      <c r="D110" s="64"/>
      <c r="E110" s="64"/>
      <c r="F110" s="64"/>
      <c r="G110" s="64"/>
      <c r="H110" s="64"/>
      <c r="I110" s="64"/>
      <c r="J110" s="64"/>
      <c r="K110" s="46"/>
      <c r="L110" s="64"/>
      <c r="M110" s="64"/>
      <c r="N110" s="64"/>
      <c r="O110" s="64"/>
      <c r="P110" s="64"/>
      <c r="Q110" s="64"/>
      <c r="R110" s="64"/>
    </row>
    <row r="111" spans="1:19" x14ac:dyDescent="0.3">
      <c r="A111" s="21" t="s">
        <v>77</v>
      </c>
      <c r="B111" s="38">
        <v>58</v>
      </c>
      <c r="C111" s="38">
        <v>28</v>
      </c>
      <c r="D111" s="38">
        <v>289</v>
      </c>
      <c r="E111" s="38">
        <v>195</v>
      </c>
      <c r="F111" s="38">
        <v>156</v>
      </c>
      <c r="G111" s="38">
        <v>109</v>
      </c>
      <c r="H111" s="38">
        <v>205</v>
      </c>
      <c r="I111" s="38">
        <v>114</v>
      </c>
      <c r="J111" s="38">
        <v>203</v>
      </c>
      <c r="K111" s="38">
        <v>147</v>
      </c>
      <c r="L111" s="38">
        <v>118</v>
      </c>
      <c r="M111" s="38">
        <v>10</v>
      </c>
      <c r="N111" s="38"/>
      <c r="O111" s="38"/>
      <c r="P111" s="38"/>
      <c r="Q111" s="38"/>
      <c r="R111" s="38"/>
      <c r="S111" s="10">
        <v>10</v>
      </c>
    </row>
    <row r="112" spans="1:19" x14ac:dyDescent="0.3">
      <c r="A112" s="21" t="s">
        <v>76</v>
      </c>
      <c r="B112" s="38">
        <v>29</v>
      </c>
      <c r="C112" s="38">
        <v>9</v>
      </c>
      <c r="D112" s="38">
        <v>147</v>
      </c>
      <c r="E112" s="38">
        <v>71</v>
      </c>
      <c r="F112" s="38">
        <v>62</v>
      </c>
      <c r="G112" s="38">
        <v>75</v>
      </c>
      <c r="H112" s="38">
        <v>26</v>
      </c>
      <c r="I112" s="38">
        <v>29</v>
      </c>
      <c r="J112" s="38">
        <v>101</v>
      </c>
      <c r="K112" s="38">
        <v>62</v>
      </c>
      <c r="L112" s="38">
        <v>64</v>
      </c>
      <c r="M112" s="38">
        <v>27</v>
      </c>
      <c r="N112" s="38"/>
      <c r="O112" s="38"/>
      <c r="P112" s="38"/>
      <c r="Q112" s="38"/>
      <c r="R112" s="38"/>
      <c r="S112" s="10">
        <v>11</v>
      </c>
    </row>
    <row r="113" spans="1:19" x14ac:dyDescent="0.3">
      <c r="A113" s="21" t="s">
        <v>75</v>
      </c>
      <c r="B113" s="38">
        <v>26216.73</v>
      </c>
      <c r="C113" s="63">
        <v>16469.38</v>
      </c>
      <c r="D113" s="38">
        <v>215.52</v>
      </c>
      <c r="E113" s="38">
        <v>7159.38</v>
      </c>
      <c r="F113" s="38">
        <v>1997.5</v>
      </c>
      <c r="G113" s="38">
        <v>808.9</v>
      </c>
      <c r="H113" s="38">
        <v>1184.6099999999999</v>
      </c>
      <c r="I113" s="38">
        <v>3545.3</v>
      </c>
      <c r="J113" s="38">
        <v>3533.28</v>
      </c>
      <c r="K113" s="38">
        <v>1830.39</v>
      </c>
      <c r="L113" s="38">
        <v>106.37</v>
      </c>
      <c r="M113" s="38">
        <v>0</v>
      </c>
      <c r="N113" s="38">
        <f>SUM(B113:M113)</f>
        <v>63067.360000000001</v>
      </c>
      <c r="O113" s="38"/>
      <c r="P113" s="38"/>
      <c r="Q113" s="38"/>
      <c r="R113" s="38"/>
      <c r="S113" s="10">
        <v>12</v>
      </c>
    </row>
    <row r="114" spans="1:19" x14ac:dyDescent="0.3">
      <c r="A114" s="62" t="s">
        <v>47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46"/>
      <c r="L114" s="61"/>
      <c r="M114" s="61"/>
      <c r="N114" s="61"/>
      <c r="O114" s="61"/>
      <c r="P114" s="61"/>
      <c r="Q114" s="61"/>
      <c r="R114" s="61"/>
    </row>
    <row r="115" spans="1:19" x14ac:dyDescent="0.3">
      <c r="A115" s="17" t="s">
        <v>74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:19" ht="15.6" x14ac:dyDescent="0.3">
      <c r="A116" s="50" t="s">
        <v>73</v>
      </c>
      <c r="B116" s="60">
        <f>+B117+B123</f>
        <v>9705</v>
      </c>
      <c r="C116" s="60">
        <f>+C117+C123</f>
        <v>9720</v>
      </c>
      <c r="D116" s="60">
        <f>+D117+D123</f>
        <v>9738</v>
      </c>
      <c r="E116" s="60">
        <f>+E117+E123</f>
        <v>9738</v>
      </c>
      <c r="F116" s="60">
        <f>F117+F123</f>
        <v>9746</v>
      </c>
      <c r="G116" s="60">
        <f>G117+G123</f>
        <v>9761</v>
      </c>
      <c r="H116" s="60">
        <f>H117+H123</f>
        <v>9775</v>
      </c>
      <c r="I116" s="60">
        <f>I117+I123</f>
        <v>9792</v>
      </c>
      <c r="J116" s="60">
        <f>J117+J123</f>
        <v>9799</v>
      </c>
      <c r="K116" s="60">
        <f>K117+K123</f>
        <v>9811</v>
      </c>
      <c r="L116" s="60">
        <f>L117+L123</f>
        <v>9825</v>
      </c>
      <c r="M116" s="60">
        <f>M117+M123</f>
        <v>9837</v>
      </c>
      <c r="N116" s="60"/>
      <c r="O116" s="60"/>
      <c r="P116" s="60"/>
      <c r="Q116" s="60"/>
      <c r="R116" s="60"/>
      <c r="S116" s="10">
        <v>14</v>
      </c>
    </row>
    <row r="117" spans="1:19" x14ac:dyDescent="0.3">
      <c r="A117" s="48" t="s">
        <v>72</v>
      </c>
      <c r="B117" s="24">
        <f>+B118+B119+B120+B121+B122</f>
        <v>9705</v>
      </c>
      <c r="C117" s="24">
        <f>+C118+C119+C120+C121+C122</f>
        <v>9720</v>
      </c>
      <c r="D117" s="24">
        <f>+D118+D119+D120+D121+D122</f>
        <v>9738</v>
      </c>
      <c r="E117" s="24">
        <f>+E118+E119+E120+E121+E122</f>
        <v>9738</v>
      </c>
      <c r="F117" s="24">
        <f>+F118+F119+F120+F121+F122</f>
        <v>9746</v>
      </c>
      <c r="G117" s="24">
        <f>+G118+G119+G120+G121+G122</f>
        <v>9761</v>
      </c>
      <c r="H117" s="24">
        <f>+H118+H119+H120+H121+H122</f>
        <v>9775</v>
      </c>
      <c r="I117" s="24">
        <f>+I118+I119+I120+I121+I122</f>
        <v>9792</v>
      </c>
      <c r="J117" s="24">
        <f>+J118+J119+J120+J121+J122</f>
        <v>9799</v>
      </c>
      <c r="K117" s="24">
        <f>+K118+K119+K120+K121+K122</f>
        <v>9811</v>
      </c>
      <c r="L117" s="24">
        <f>+L118+L119+L120+L121+L122</f>
        <v>9825</v>
      </c>
      <c r="M117" s="24">
        <f>+M118+M119+M120+M121+M122</f>
        <v>9837</v>
      </c>
      <c r="N117" s="24"/>
      <c r="O117" s="24"/>
      <c r="P117" s="24"/>
      <c r="Q117" s="24"/>
      <c r="R117" s="24"/>
    </row>
    <row r="118" spans="1:19" x14ac:dyDescent="0.3">
      <c r="A118" s="23" t="s">
        <v>62</v>
      </c>
      <c r="B118" s="11">
        <v>9273</v>
      </c>
      <c r="C118" s="11">
        <v>9288</v>
      </c>
      <c r="D118" s="11">
        <v>9305</v>
      </c>
      <c r="E118" s="11">
        <v>9305</v>
      </c>
      <c r="F118" s="11">
        <v>9313</v>
      </c>
      <c r="G118" s="11">
        <v>9329</v>
      </c>
      <c r="H118" s="11">
        <v>9343</v>
      </c>
      <c r="I118" s="11">
        <v>9357</v>
      </c>
      <c r="J118" s="11">
        <v>9364</v>
      </c>
      <c r="K118" s="11">
        <v>9379</v>
      </c>
      <c r="L118" s="11">
        <v>9394</v>
      </c>
      <c r="M118" s="11">
        <v>9404</v>
      </c>
      <c r="N118" s="11"/>
      <c r="O118" s="11"/>
      <c r="P118" s="11"/>
      <c r="Q118" s="11"/>
      <c r="R118" s="11"/>
    </row>
    <row r="119" spans="1:19" x14ac:dyDescent="0.3">
      <c r="A119" s="23" t="s">
        <v>61</v>
      </c>
      <c r="B119" s="11">
        <v>272</v>
      </c>
      <c r="C119" s="11">
        <v>272</v>
      </c>
      <c r="D119" s="11">
        <v>273</v>
      </c>
      <c r="E119" s="11">
        <v>273</v>
      </c>
      <c r="F119" s="11">
        <v>273</v>
      </c>
      <c r="G119" s="11">
        <v>272</v>
      </c>
      <c r="H119" s="11">
        <v>272</v>
      </c>
      <c r="I119" s="11">
        <v>275</v>
      </c>
      <c r="J119" s="11">
        <v>275</v>
      </c>
      <c r="K119" s="11">
        <v>272</v>
      </c>
      <c r="L119" s="11">
        <v>270</v>
      </c>
      <c r="M119" s="11">
        <v>272</v>
      </c>
      <c r="N119" s="11"/>
      <c r="O119" s="11"/>
      <c r="P119" s="11"/>
      <c r="Q119" s="11"/>
      <c r="R119" s="11"/>
    </row>
    <row r="120" spans="1:19" x14ac:dyDescent="0.3">
      <c r="A120" s="23" t="s">
        <v>60</v>
      </c>
      <c r="B120" s="11">
        <v>12</v>
      </c>
      <c r="C120" s="11">
        <v>12</v>
      </c>
      <c r="D120" s="11">
        <v>12</v>
      </c>
      <c r="E120" s="11">
        <v>12</v>
      </c>
      <c r="F120" s="11">
        <v>12</v>
      </c>
      <c r="G120" s="11">
        <v>12</v>
      </c>
      <c r="H120" s="11">
        <v>12</v>
      </c>
      <c r="I120" s="11">
        <v>12</v>
      </c>
      <c r="J120" s="11">
        <v>12</v>
      </c>
      <c r="K120" s="11">
        <v>12</v>
      </c>
      <c r="L120" s="11">
        <v>12</v>
      </c>
      <c r="M120" s="11">
        <v>12</v>
      </c>
      <c r="N120" s="11"/>
      <c r="O120" s="11"/>
      <c r="P120" s="11"/>
      <c r="Q120" s="11"/>
      <c r="R120" s="11"/>
    </row>
    <row r="121" spans="1:19" x14ac:dyDescent="0.3">
      <c r="A121" s="23" t="s">
        <v>70</v>
      </c>
      <c r="B121" s="11">
        <v>50</v>
      </c>
      <c r="C121" s="11">
        <v>50</v>
      </c>
      <c r="D121" s="11">
        <v>50</v>
      </c>
      <c r="E121" s="11">
        <v>50</v>
      </c>
      <c r="F121" s="11">
        <v>50</v>
      </c>
      <c r="G121" s="11">
        <v>50</v>
      </c>
      <c r="H121" s="11">
        <v>50</v>
      </c>
      <c r="I121" s="11">
        <v>50</v>
      </c>
      <c r="J121" s="11">
        <v>50</v>
      </c>
      <c r="K121" s="11">
        <v>50</v>
      </c>
      <c r="L121" s="11">
        <v>50</v>
      </c>
      <c r="M121" s="11">
        <v>50</v>
      </c>
      <c r="N121" s="11"/>
      <c r="O121" s="11"/>
      <c r="P121" s="11"/>
      <c r="Q121" s="11"/>
      <c r="R121" s="11"/>
    </row>
    <row r="122" spans="1:19" x14ac:dyDescent="0.3">
      <c r="A122" s="23" t="s">
        <v>69</v>
      </c>
      <c r="B122" s="11">
        <v>98</v>
      </c>
      <c r="C122" s="11">
        <v>98</v>
      </c>
      <c r="D122" s="11">
        <v>98</v>
      </c>
      <c r="E122" s="11">
        <v>98</v>
      </c>
      <c r="F122" s="11">
        <v>98</v>
      </c>
      <c r="G122" s="11">
        <v>98</v>
      </c>
      <c r="H122" s="11">
        <v>98</v>
      </c>
      <c r="I122" s="11">
        <v>98</v>
      </c>
      <c r="J122" s="11">
        <v>98</v>
      </c>
      <c r="K122" s="11">
        <v>98</v>
      </c>
      <c r="L122" s="11">
        <v>99</v>
      </c>
      <c r="M122" s="11">
        <v>99</v>
      </c>
      <c r="N122" s="11"/>
      <c r="O122" s="11"/>
      <c r="P122" s="11"/>
      <c r="Q122" s="11"/>
      <c r="R122" s="11"/>
    </row>
    <row r="123" spans="1:19" x14ac:dyDescent="0.3">
      <c r="A123" s="48" t="s">
        <v>71</v>
      </c>
      <c r="B123" s="24">
        <f>+B124+B125+B126+B127+B128</f>
        <v>0</v>
      </c>
      <c r="C123" s="24">
        <f>+C124+C125+C126+C127+C128</f>
        <v>0</v>
      </c>
      <c r="D123" s="24">
        <f>+D124+D125+D126+D127+D128</f>
        <v>0</v>
      </c>
      <c r="E123" s="24">
        <f>+E124+E125+E126+E127+E128</f>
        <v>0</v>
      </c>
      <c r="F123" s="24">
        <f>+F124+F125+F126+F127+F128</f>
        <v>0</v>
      </c>
      <c r="G123" s="24">
        <f>+G124+G125+G126+G127+G128</f>
        <v>0</v>
      </c>
      <c r="H123" s="24">
        <f>+H124+H125+H126+H127+H128</f>
        <v>0</v>
      </c>
      <c r="I123" s="24">
        <f>+I124+I125+I126+I127+I128</f>
        <v>0</v>
      </c>
      <c r="J123" s="24">
        <f>+J124+J125+J126+J127+J128</f>
        <v>0</v>
      </c>
      <c r="K123" s="24">
        <f>+K124+K125+K126+K127+K128</f>
        <v>0</v>
      </c>
      <c r="L123" s="24">
        <f>+L124+L125+L126+L127+L128</f>
        <v>0</v>
      </c>
      <c r="M123" s="24">
        <f>+M124+M125+M126+M127+M128</f>
        <v>0</v>
      </c>
      <c r="N123" s="24"/>
      <c r="O123" s="24"/>
      <c r="P123" s="24"/>
      <c r="Q123" s="24"/>
      <c r="R123" s="24"/>
    </row>
    <row r="124" spans="1:19" x14ac:dyDescent="0.3">
      <c r="A124" s="23" t="s">
        <v>62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/>
      <c r="O124" s="11"/>
      <c r="P124" s="11"/>
      <c r="Q124" s="11"/>
      <c r="R124" s="11"/>
    </row>
    <row r="125" spans="1:19" ht="15" x14ac:dyDescent="0.3">
      <c r="A125" s="59" t="s">
        <v>61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/>
      <c r="O125" s="11"/>
      <c r="P125" s="11"/>
      <c r="Q125" s="11"/>
      <c r="R125" s="11"/>
    </row>
    <row r="126" spans="1:19" x14ac:dyDescent="0.3">
      <c r="A126" s="23" t="s">
        <v>60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/>
      <c r="O126" s="11"/>
      <c r="P126" s="11"/>
      <c r="Q126" s="11"/>
      <c r="R126" s="11"/>
    </row>
    <row r="127" spans="1:19" x14ac:dyDescent="0.3">
      <c r="A127" s="23" t="s">
        <v>70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/>
      <c r="O127" s="11"/>
      <c r="P127" s="11"/>
      <c r="Q127" s="11"/>
      <c r="R127" s="11"/>
    </row>
    <row r="128" spans="1:19" x14ac:dyDescent="0.3">
      <c r="A128" s="23" t="s">
        <v>69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/>
      <c r="O128" s="11"/>
      <c r="P128" s="11"/>
      <c r="Q128" s="11"/>
      <c r="R128" s="11"/>
    </row>
    <row r="129" spans="1:18" ht="23.25" customHeight="1" x14ac:dyDescent="0.3">
      <c r="A129" s="58" t="s">
        <v>68</v>
      </c>
      <c r="B129" s="31">
        <v>599</v>
      </c>
      <c r="C129" s="31">
        <v>598</v>
      </c>
      <c r="D129" s="31">
        <v>602</v>
      </c>
      <c r="E129" s="31">
        <v>602</v>
      </c>
      <c r="F129" s="31">
        <v>609</v>
      </c>
      <c r="G129" s="31">
        <v>612</v>
      </c>
      <c r="H129" s="31">
        <v>613</v>
      </c>
      <c r="I129" s="31">
        <v>616</v>
      </c>
      <c r="J129" s="31">
        <v>617</v>
      </c>
      <c r="K129" s="31">
        <v>619</v>
      </c>
      <c r="L129" s="31">
        <v>620</v>
      </c>
      <c r="M129" s="31">
        <v>621</v>
      </c>
      <c r="N129" s="31"/>
      <c r="O129" s="11"/>
      <c r="P129" s="11"/>
      <c r="Q129" s="11"/>
      <c r="R129" s="11"/>
    </row>
    <row r="130" spans="1:18" ht="15.75" customHeight="1" x14ac:dyDescent="0.3">
      <c r="A130" s="57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9.5" customHeight="1" x14ac:dyDescent="0.3">
      <c r="A131" s="55" t="s">
        <v>67</v>
      </c>
      <c r="B131" s="35">
        <f>10036-599</f>
        <v>9437</v>
      </c>
      <c r="C131" s="35">
        <f>10050-598</f>
        <v>9452</v>
      </c>
      <c r="D131" s="35">
        <f>10050-602</f>
        <v>9448</v>
      </c>
      <c r="E131" s="35">
        <f>10072-602</f>
        <v>9470</v>
      </c>
      <c r="F131" s="35">
        <f>10087-609</f>
        <v>9478</v>
      </c>
      <c r="G131" s="35">
        <v>9493</v>
      </c>
      <c r="H131" s="35">
        <v>9507</v>
      </c>
      <c r="I131" s="35">
        <v>9524</v>
      </c>
      <c r="J131" s="35">
        <v>9531</v>
      </c>
      <c r="K131" s="35">
        <v>9543</v>
      </c>
      <c r="L131" s="35">
        <v>9557</v>
      </c>
      <c r="M131" s="35">
        <v>9569</v>
      </c>
      <c r="N131" s="35"/>
      <c r="O131" s="35"/>
      <c r="P131" s="35"/>
      <c r="Q131" s="35"/>
      <c r="R131" s="35"/>
    </row>
    <row r="132" spans="1:18" ht="19.5" customHeight="1" x14ac:dyDescent="0.3">
      <c r="A132" s="25" t="s">
        <v>66</v>
      </c>
      <c r="B132" s="54">
        <f>+B131/B116</f>
        <v>0.97238536836682121</v>
      </c>
      <c r="C132" s="54">
        <f>+C131/C116</f>
        <v>0.97242798353909465</v>
      </c>
      <c r="D132" s="54">
        <f>+D131/D116</f>
        <v>0.97021975765044155</v>
      </c>
      <c r="E132" s="54">
        <f>+E131/E116</f>
        <v>0.97247894844937355</v>
      </c>
      <c r="F132" s="54">
        <f>+F131/F116</f>
        <v>0.97250153909296122</v>
      </c>
      <c r="G132" s="54">
        <f>+G131/G116</f>
        <v>0.97254379674213709</v>
      </c>
      <c r="H132" s="54">
        <f>+H131/H116</f>
        <v>0.97258312020460358</v>
      </c>
      <c r="I132" s="54">
        <f>+I131/I116</f>
        <v>0.97263071895424835</v>
      </c>
      <c r="J132" s="54">
        <f>+J131/J116</f>
        <v>0.9726502704357588</v>
      </c>
      <c r="K132" s="54">
        <f>+K131/K116</f>
        <v>0.97268372235246148</v>
      </c>
      <c r="L132" s="54">
        <f>+L131/L116</f>
        <v>0.97272264631043259</v>
      </c>
      <c r="M132" s="54">
        <f>+M131/M116</f>
        <v>0.97275592152078882</v>
      </c>
      <c r="N132" s="35"/>
      <c r="O132" s="35"/>
      <c r="P132" s="35"/>
      <c r="Q132" s="35"/>
      <c r="R132" s="35"/>
    </row>
    <row r="133" spans="1:18" ht="19.5" customHeight="1" x14ac:dyDescent="0.3">
      <c r="A133" s="53"/>
      <c r="B133" s="51"/>
      <c r="C133" s="51"/>
      <c r="D133" s="52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1:18" ht="15" customHeight="1" x14ac:dyDescent="0.3">
      <c r="A134" s="17" t="s">
        <v>65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:18" ht="15.6" x14ac:dyDescent="0.3">
      <c r="A135" s="50" t="s">
        <v>64</v>
      </c>
      <c r="B135" s="49">
        <f>+B136+B140+B141</f>
        <v>43294764.369999997</v>
      </c>
      <c r="C135" s="49">
        <f>+C136+C140+C141</f>
        <v>43536252.480000004</v>
      </c>
      <c r="D135" s="49">
        <f>+D136+D140+D141</f>
        <v>43536252.480000004</v>
      </c>
      <c r="E135" s="49">
        <f>+E136+E140+E141</f>
        <v>43237800.240000002</v>
      </c>
      <c r="F135" s="49">
        <f>+F136+F140+F141</f>
        <v>43761135.770000003</v>
      </c>
      <c r="G135" s="49">
        <f>+G136+G140+G141</f>
        <v>44370666.529999994</v>
      </c>
      <c r="H135" s="49">
        <f>+H136+H140+H141</f>
        <v>45162056.359999999</v>
      </c>
      <c r="I135" s="49">
        <f>+I136+I140+I141</f>
        <v>45768304.849999994</v>
      </c>
      <c r="J135" s="49">
        <f>+J136+J140+J141</f>
        <v>46249794.240000002</v>
      </c>
      <c r="K135" s="49">
        <f>+K136+K140+K141</f>
        <v>47036714.880000003</v>
      </c>
      <c r="L135" s="49">
        <f>+L136+L140+L141</f>
        <v>47533625.390000001</v>
      </c>
      <c r="M135" s="49">
        <f>+M136+M140+M141</f>
        <v>48051990.279999994</v>
      </c>
      <c r="N135" s="49"/>
      <c r="O135" s="49"/>
      <c r="P135" s="49"/>
      <c r="Q135" s="49"/>
      <c r="R135" s="49"/>
    </row>
    <row r="136" spans="1:18" x14ac:dyDescent="0.3">
      <c r="A136" s="48" t="s">
        <v>63</v>
      </c>
      <c r="B136" s="47">
        <f>+B137+B138+B139</f>
        <v>31843423.580000002</v>
      </c>
      <c r="C136" s="47">
        <f>+C137+C138+C139</f>
        <v>32303008.130000003</v>
      </c>
      <c r="D136" s="47">
        <f>+D137+D138+D139</f>
        <v>32303008.130000003</v>
      </c>
      <c r="E136" s="47">
        <f>+E137+E138+E139</f>
        <v>32006958.770000003</v>
      </c>
      <c r="F136" s="47">
        <f>+F137+F138+F139</f>
        <v>32458010.540000003</v>
      </c>
      <c r="G136" s="47">
        <f>+G137+G138+G139</f>
        <v>33052128.5</v>
      </c>
      <c r="H136" s="47">
        <f>+H137+H138+H139</f>
        <v>33781231.609999999</v>
      </c>
      <c r="I136" s="47">
        <f>+I137+I138+I139</f>
        <v>34320488.539999999</v>
      </c>
      <c r="J136" s="47">
        <f>+J137+J138+J139</f>
        <v>34713790.870000005</v>
      </c>
      <c r="K136" s="47">
        <f>+K137+K138+K139</f>
        <v>35452144.050000004</v>
      </c>
      <c r="L136" s="47">
        <f>+L137+L138+L139</f>
        <v>35862069.560000002</v>
      </c>
      <c r="M136" s="47">
        <f>+M137+M138+M139</f>
        <v>36312834.879999995</v>
      </c>
      <c r="N136" s="47">
        <f>N137+N141+N142</f>
        <v>0</v>
      </c>
      <c r="O136" s="47">
        <f>O137+O141+O142</f>
        <v>0</v>
      </c>
      <c r="P136" s="47">
        <f>P137+P141+P142</f>
        <v>0</v>
      </c>
      <c r="Q136" s="47">
        <f>Q137+Q141+Q142</f>
        <v>0</v>
      </c>
      <c r="R136" s="47">
        <f>R137+R141+R142</f>
        <v>0</v>
      </c>
    </row>
    <row r="137" spans="1:18" x14ac:dyDescent="0.3">
      <c r="A137" s="23" t="s">
        <v>62</v>
      </c>
      <c r="B137" s="38">
        <v>30478007.91</v>
      </c>
      <c r="C137" s="38">
        <v>30908055.18</v>
      </c>
      <c r="D137" s="38">
        <v>30908055.18</v>
      </c>
      <c r="E137" s="38">
        <v>30649214.100000001</v>
      </c>
      <c r="F137" s="38">
        <v>31096231.66</v>
      </c>
      <c r="G137" s="38">
        <v>31645569.18</v>
      </c>
      <c r="H137" s="38">
        <v>32329873.309999999</v>
      </c>
      <c r="I137" s="38">
        <v>32860721.800000001</v>
      </c>
      <c r="J137" s="38">
        <v>33241639.539999999</v>
      </c>
      <c r="K137" s="38">
        <v>33981801.920000002</v>
      </c>
      <c r="L137" s="38">
        <v>34347332.380000003</v>
      </c>
      <c r="M137" s="38">
        <v>34780767.350000001</v>
      </c>
      <c r="N137" s="38">
        <f>N138+N139+N140</f>
        <v>0</v>
      </c>
      <c r="O137" s="38">
        <f>O138+O139+O140</f>
        <v>0</v>
      </c>
      <c r="P137" s="38">
        <f>P138+P139+P140</f>
        <v>0</v>
      </c>
      <c r="Q137" s="38">
        <f>Q138+Q139+Q140</f>
        <v>0</v>
      </c>
      <c r="R137" s="38">
        <f>R138+R139+R140</f>
        <v>0</v>
      </c>
    </row>
    <row r="138" spans="1:18" x14ac:dyDescent="0.3">
      <c r="A138" s="23" t="s">
        <v>61</v>
      </c>
      <c r="B138" s="38">
        <v>899384.46</v>
      </c>
      <c r="C138" s="38">
        <v>924804.01</v>
      </c>
      <c r="D138" s="38">
        <v>924804.01</v>
      </c>
      <c r="E138" s="38">
        <v>887607.17</v>
      </c>
      <c r="F138" s="38">
        <v>930291.85</v>
      </c>
      <c r="G138" s="38">
        <v>973610.17</v>
      </c>
      <c r="H138" s="38">
        <v>1005423.47</v>
      </c>
      <c r="I138" s="38">
        <v>1003216.46</v>
      </c>
      <c r="J138" s="38">
        <v>1030349.56</v>
      </c>
      <c r="K138" s="38">
        <v>1025767.75</v>
      </c>
      <c r="L138" s="38">
        <v>1068202.7</v>
      </c>
      <c r="M138" s="38">
        <v>1083056.55</v>
      </c>
      <c r="N138" s="38"/>
      <c r="O138" s="38"/>
      <c r="P138" s="38"/>
      <c r="Q138" s="38"/>
      <c r="R138" s="38"/>
    </row>
    <row r="139" spans="1:18" x14ac:dyDescent="0.3">
      <c r="A139" s="23" t="s">
        <v>60</v>
      </c>
      <c r="B139" s="38">
        <v>466031.21</v>
      </c>
      <c r="C139" s="38">
        <v>470148.94</v>
      </c>
      <c r="D139" s="38">
        <v>470148.94</v>
      </c>
      <c r="E139" s="38">
        <v>470137.5</v>
      </c>
      <c r="F139" s="38">
        <v>431487.03</v>
      </c>
      <c r="G139" s="38">
        <v>432949.15</v>
      </c>
      <c r="H139" s="38">
        <v>445934.83</v>
      </c>
      <c r="I139" s="38">
        <v>456550.28</v>
      </c>
      <c r="J139" s="38">
        <v>441801.77</v>
      </c>
      <c r="K139" s="38">
        <v>444574.38</v>
      </c>
      <c r="L139" s="38">
        <v>446534.48</v>
      </c>
      <c r="M139" s="38">
        <v>449010.98</v>
      </c>
      <c r="N139" s="38"/>
      <c r="O139" s="38"/>
      <c r="P139" s="38"/>
      <c r="Q139" s="38"/>
      <c r="R139" s="38"/>
    </row>
    <row r="140" spans="1:18" x14ac:dyDescent="0.3">
      <c r="A140" s="21" t="s">
        <v>59</v>
      </c>
      <c r="B140" s="38">
        <v>10402702.49</v>
      </c>
      <c r="C140" s="38">
        <v>10439915.4</v>
      </c>
      <c r="D140" s="38">
        <v>10439915.4</v>
      </c>
      <c r="E140" s="38">
        <v>10450404.09</v>
      </c>
      <c r="F140" s="38">
        <v>10494421.060000001</v>
      </c>
      <c r="G140" s="38">
        <v>10522774.02</v>
      </c>
      <c r="H140" s="38">
        <v>10563247.09</v>
      </c>
      <c r="I140" s="38">
        <v>10614371.199999999</v>
      </c>
      <c r="J140" s="38">
        <v>10648843.720000001</v>
      </c>
      <c r="K140" s="38">
        <v>10684979.279999999</v>
      </c>
      <c r="L140" s="38">
        <v>10738943.65</v>
      </c>
      <c r="M140" s="38">
        <v>10769718.279999999</v>
      </c>
      <c r="N140" s="38"/>
      <c r="O140" s="38"/>
      <c r="P140" s="38"/>
      <c r="Q140" s="38"/>
      <c r="R140" s="38"/>
    </row>
    <row r="141" spans="1:18" x14ac:dyDescent="0.3">
      <c r="A141" s="21" t="s">
        <v>58</v>
      </c>
      <c r="B141" s="38">
        <v>1048638.3</v>
      </c>
      <c r="C141" s="38">
        <v>793328.95</v>
      </c>
      <c r="D141" s="38">
        <v>793328.95</v>
      </c>
      <c r="E141" s="38">
        <v>780437.38</v>
      </c>
      <c r="F141" s="38">
        <v>808704.17</v>
      </c>
      <c r="G141" s="38">
        <v>795764.01</v>
      </c>
      <c r="H141" s="38">
        <v>817577.66</v>
      </c>
      <c r="I141" s="38">
        <v>833445.11</v>
      </c>
      <c r="J141" s="38">
        <v>887159.65</v>
      </c>
      <c r="K141" s="38">
        <v>899591.55</v>
      </c>
      <c r="L141" s="38">
        <v>932612.18</v>
      </c>
      <c r="M141" s="38">
        <v>969437.12</v>
      </c>
      <c r="N141" s="38"/>
      <c r="O141" s="38"/>
      <c r="P141" s="38"/>
      <c r="Q141" s="38"/>
      <c r="R141" s="38"/>
    </row>
    <row r="142" spans="1:18" x14ac:dyDescent="0.3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3">
      <c r="A143" s="48" t="s">
        <v>57</v>
      </c>
      <c r="B143" s="24">
        <f>+B144+B145+B146+B147</f>
        <v>2482</v>
      </c>
      <c r="C143" s="24">
        <f>+C144+C145+C146+C147</f>
        <v>2981</v>
      </c>
      <c r="D143" s="24">
        <f>+D144+D145+D146+D147</f>
        <v>2943</v>
      </c>
      <c r="E143" s="24">
        <f>+E144+E145+E146+E147</f>
        <v>2272</v>
      </c>
      <c r="F143" s="24">
        <f>+F144+F145+F146+F147</f>
        <v>2424</v>
      </c>
      <c r="G143" s="24">
        <f>SUM(G144:G147)</f>
        <v>2505</v>
      </c>
      <c r="H143" s="24">
        <f>SUM(H144:H147)</f>
        <v>2611</v>
      </c>
      <c r="I143" s="24">
        <f>SUM(I144:I147)</f>
        <v>2702</v>
      </c>
      <c r="J143" s="24">
        <f>SUM(J144:J147)</f>
        <v>2780</v>
      </c>
      <c r="K143" s="24">
        <f>SUM(K144:K147)</f>
        <v>2831</v>
      </c>
      <c r="L143" s="24">
        <f>SUM(L144:L147)</f>
        <v>2810</v>
      </c>
      <c r="M143" s="24">
        <f>SUM(M144:M147)</f>
        <v>2808</v>
      </c>
      <c r="N143" s="47"/>
      <c r="O143" s="47"/>
      <c r="P143" s="47"/>
      <c r="Q143" s="47"/>
      <c r="R143" s="47"/>
    </row>
    <row r="144" spans="1:18" ht="14.25" customHeight="1" x14ac:dyDescent="0.3">
      <c r="A144" s="21" t="s">
        <v>56</v>
      </c>
      <c r="B144" s="11">
        <v>1881</v>
      </c>
      <c r="C144" s="11">
        <v>2338</v>
      </c>
      <c r="D144" s="11">
        <v>2195</v>
      </c>
      <c r="E144" s="11">
        <v>1418</v>
      </c>
      <c r="F144" s="11">
        <v>1425</v>
      </c>
      <c r="G144" s="11">
        <v>1393</v>
      </c>
      <c r="H144" s="11">
        <v>1385</v>
      </c>
      <c r="I144" s="11">
        <v>1347</v>
      </c>
      <c r="J144" s="11">
        <v>1328</v>
      </c>
      <c r="K144" s="11">
        <v>1267</v>
      </c>
      <c r="L144" s="11">
        <v>1176</v>
      </c>
      <c r="M144" s="11">
        <v>1180</v>
      </c>
      <c r="N144" s="11"/>
      <c r="O144" s="11"/>
      <c r="P144" s="11"/>
      <c r="Q144" s="11"/>
      <c r="R144" s="11"/>
    </row>
    <row r="145" spans="1:18" ht="15" customHeight="1" x14ac:dyDescent="0.3">
      <c r="A145" s="21" t="s">
        <v>55</v>
      </c>
      <c r="B145" s="11">
        <v>152</v>
      </c>
      <c r="C145" s="11">
        <v>193</v>
      </c>
      <c r="D145" s="11">
        <v>257</v>
      </c>
      <c r="E145" s="11">
        <v>376</v>
      </c>
      <c r="F145" s="11">
        <v>526</v>
      </c>
      <c r="G145" s="11">
        <v>553</v>
      </c>
      <c r="H145" s="11">
        <v>514</v>
      </c>
      <c r="I145" s="11">
        <v>497</v>
      </c>
      <c r="J145" s="11">
        <v>511</v>
      </c>
      <c r="K145" s="11">
        <v>534</v>
      </c>
      <c r="L145" s="11">
        <v>522</v>
      </c>
      <c r="M145" s="11">
        <v>467</v>
      </c>
      <c r="N145" s="11"/>
      <c r="O145" s="11"/>
      <c r="P145" s="11"/>
      <c r="Q145" s="11"/>
      <c r="R145" s="11"/>
    </row>
    <row r="146" spans="1:18" x14ac:dyDescent="0.3">
      <c r="A146" s="21" t="s">
        <v>54</v>
      </c>
      <c r="B146" s="11">
        <v>223</v>
      </c>
      <c r="C146" s="11">
        <v>229</v>
      </c>
      <c r="D146" s="11">
        <v>261</v>
      </c>
      <c r="E146" s="11">
        <v>271</v>
      </c>
      <c r="F146" s="11">
        <v>285</v>
      </c>
      <c r="G146" s="11">
        <v>371</v>
      </c>
      <c r="H146" s="11">
        <v>520</v>
      </c>
      <c r="I146" s="11">
        <v>651</v>
      </c>
      <c r="J146" s="11">
        <v>737</v>
      </c>
      <c r="K146" s="11">
        <v>763</v>
      </c>
      <c r="L146" s="11">
        <v>735</v>
      </c>
      <c r="M146" s="11">
        <v>699</v>
      </c>
      <c r="N146" s="11"/>
      <c r="O146" s="11"/>
      <c r="P146" s="11"/>
      <c r="Q146" s="11"/>
      <c r="R146" s="11"/>
    </row>
    <row r="147" spans="1:18" ht="15" customHeight="1" x14ac:dyDescent="0.3">
      <c r="A147" s="21" t="s">
        <v>53</v>
      </c>
      <c r="B147" s="11">
        <v>226</v>
      </c>
      <c r="C147" s="11">
        <v>221</v>
      </c>
      <c r="D147" s="11">
        <v>230</v>
      </c>
      <c r="E147" s="11">
        <v>207</v>
      </c>
      <c r="F147" s="11">
        <v>188</v>
      </c>
      <c r="G147" s="11">
        <v>188</v>
      </c>
      <c r="H147" s="11">
        <v>192</v>
      </c>
      <c r="I147" s="11">
        <v>207</v>
      </c>
      <c r="J147" s="11">
        <v>204</v>
      </c>
      <c r="K147" s="11">
        <v>267</v>
      </c>
      <c r="L147" s="11">
        <v>377</v>
      </c>
      <c r="M147" s="11">
        <v>462</v>
      </c>
      <c r="N147" s="11"/>
      <c r="O147" s="11"/>
      <c r="P147" s="11"/>
      <c r="Q147" s="11"/>
      <c r="R147" s="11"/>
    </row>
    <row r="148" spans="1:18" x14ac:dyDescent="0.3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:18" x14ac:dyDescent="0.3">
      <c r="A149" s="45" t="s">
        <v>52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 ht="15" customHeight="1" x14ac:dyDescent="0.3">
      <c r="A150" s="21" t="s">
        <v>51</v>
      </c>
      <c r="B150" s="38">
        <v>212.86</v>
      </c>
      <c r="C150" s="38">
        <v>212.86</v>
      </c>
      <c r="D150" s="38">
        <v>212.86</v>
      </c>
      <c r="E150" s="38">
        <v>212.86</v>
      </c>
      <c r="F150" s="38">
        <v>212.86</v>
      </c>
      <c r="G150" s="38">
        <v>272.72000000000003</v>
      </c>
      <c r="H150" s="38">
        <v>277.13</v>
      </c>
      <c r="I150" s="38">
        <v>278.79000000000002</v>
      </c>
      <c r="J150" s="38">
        <v>278.79000000000002</v>
      </c>
      <c r="K150" s="38">
        <v>282.14999999999998</v>
      </c>
      <c r="L150" s="38">
        <v>283.83999999999997</v>
      </c>
      <c r="M150" s="38">
        <v>285.55</v>
      </c>
      <c r="N150" s="38"/>
      <c r="O150" s="38"/>
      <c r="P150" s="38"/>
      <c r="Q150" s="38"/>
      <c r="R150" s="38"/>
    </row>
    <row r="151" spans="1:18" ht="15" customHeight="1" x14ac:dyDescent="0.3">
      <c r="A151" s="21" t="s">
        <v>50</v>
      </c>
      <c r="B151" s="38">
        <v>265.04000000000002</v>
      </c>
      <c r="C151" s="38">
        <v>265.04000000000002</v>
      </c>
      <c r="D151" s="38">
        <v>265.04000000000002</v>
      </c>
      <c r="E151" s="38">
        <v>265.04000000000002</v>
      </c>
      <c r="F151" s="38">
        <v>265.04000000000002</v>
      </c>
      <c r="G151" s="38">
        <v>273.04000000000002</v>
      </c>
      <c r="H151" s="38">
        <v>274.69</v>
      </c>
      <c r="I151" s="38">
        <v>276.33</v>
      </c>
      <c r="J151" s="38">
        <v>276.33</v>
      </c>
      <c r="K151" s="38">
        <v>279.66000000000003</v>
      </c>
      <c r="L151" s="38">
        <v>281.33</v>
      </c>
      <c r="M151" s="38">
        <v>283.02999999999997</v>
      </c>
      <c r="N151" s="38"/>
      <c r="O151" s="38"/>
      <c r="P151" s="38"/>
      <c r="Q151" s="38"/>
      <c r="R151" s="38"/>
    </row>
    <row r="152" spans="1:18" ht="14.25" customHeight="1" x14ac:dyDescent="0.3">
      <c r="A152" s="21" t="s">
        <v>49</v>
      </c>
      <c r="B152" s="38">
        <v>1350</v>
      </c>
      <c r="C152" s="38">
        <v>1350</v>
      </c>
      <c r="D152" s="38">
        <v>1350</v>
      </c>
      <c r="E152" s="38">
        <v>1350</v>
      </c>
      <c r="F152" s="38">
        <v>1350</v>
      </c>
      <c r="G152" s="38">
        <v>1293.0899999999999</v>
      </c>
      <c r="H152" s="38">
        <v>1300.8699999999999</v>
      </c>
      <c r="I152" s="38">
        <v>1308.6500000000001</v>
      </c>
      <c r="J152" s="38">
        <v>1308.6500000000001</v>
      </c>
      <c r="K152" s="38">
        <v>1324.4</v>
      </c>
      <c r="L152" s="38">
        <v>1332.37</v>
      </c>
      <c r="M152" s="38">
        <v>1340.4</v>
      </c>
      <c r="N152" s="38"/>
      <c r="O152" s="38"/>
      <c r="P152" s="38"/>
      <c r="Q152" s="38"/>
      <c r="R152" s="38"/>
    </row>
    <row r="153" spans="1:18" x14ac:dyDescent="0.3">
      <c r="A153" s="12" t="s">
        <v>48</v>
      </c>
      <c r="B153" s="38">
        <v>375</v>
      </c>
      <c r="C153" s="38">
        <v>375</v>
      </c>
      <c r="D153" s="38">
        <v>375</v>
      </c>
      <c r="E153" s="38">
        <v>375</v>
      </c>
      <c r="F153" s="38">
        <v>375</v>
      </c>
      <c r="G153" s="38">
        <v>30</v>
      </c>
      <c r="H153" s="38">
        <v>30</v>
      </c>
      <c r="I153" s="38">
        <v>30</v>
      </c>
      <c r="J153" s="38">
        <v>30</v>
      </c>
      <c r="K153" s="38">
        <v>30</v>
      </c>
      <c r="L153" s="38">
        <v>30</v>
      </c>
      <c r="M153" s="38">
        <v>30</v>
      </c>
      <c r="N153" s="38"/>
      <c r="O153" s="38"/>
      <c r="P153" s="38"/>
      <c r="Q153" s="38"/>
      <c r="R153" s="38"/>
    </row>
    <row r="154" spans="1:18" ht="14.25" customHeight="1" x14ac:dyDescent="0.3">
      <c r="A154" s="44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</row>
    <row r="155" spans="1:18" x14ac:dyDescent="0.3">
      <c r="A155" s="43" t="s">
        <v>47</v>
      </c>
      <c r="B155" s="41"/>
      <c r="C155" s="41"/>
      <c r="D155" s="41"/>
      <c r="E155" s="41"/>
      <c r="F155" s="41"/>
      <c r="G155" s="41"/>
      <c r="H155" s="41"/>
      <c r="I155" s="41"/>
      <c r="J155" s="42"/>
      <c r="K155" s="42"/>
      <c r="L155" s="41"/>
      <c r="M155" s="41"/>
      <c r="N155" s="41"/>
      <c r="O155" s="41"/>
      <c r="P155" s="41"/>
      <c r="Q155" s="41"/>
      <c r="R155" s="41"/>
    </row>
    <row r="156" spans="1:18" x14ac:dyDescent="0.3">
      <c r="A156" s="17" t="s">
        <v>46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x14ac:dyDescent="0.3">
      <c r="A157" s="30" t="s">
        <v>46</v>
      </c>
      <c r="B157" s="40">
        <v>0.99990000000000001</v>
      </c>
      <c r="C157" s="40">
        <v>1</v>
      </c>
      <c r="D157" s="40">
        <v>1</v>
      </c>
      <c r="E157" s="40">
        <v>1</v>
      </c>
      <c r="F157" s="40">
        <v>1</v>
      </c>
      <c r="G157" s="40">
        <v>1</v>
      </c>
      <c r="H157" s="40">
        <v>1</v>
      </c>
      <c r="I157" s="40">
        <v>1</v>
      </c>
      <c r="J157" s="40">
        <v>1</v>
      </c>
      <c r="K157" s="40">
        <v>1</v>
      </c>
      <c r="L157" s="40">
        <v>1</v>
      </c>
      <c r="M157" s="40">
        <v>1</v>
      </c>
      <c r="N157" s="40"/>
      <c r="O157" s="40"/>
      <c r="P157" s="40"/>
      <c r="Q157" s="40"/>
      <c r="R157" s="40"/>
    </row>
    <row r="158" spans="1:18" x14ac:dyDescent="0.3">
      <c r="A158" s="12" t="s">
        <v>45</v>
      </c>
      <c r="B158" s="11">
        <v>22568</v>
      </c>
      <c r="C158" s="11">
        <v>22568</v>
      </c>
      <c r="D158" s="11">
        <v>22568</v>
      </c>
      <c r="E158" s="11">
        <v>22568</v>
      </c>
      <c r="F158" s="11">
        <v>22568</v>
      </c>
      <c r="G158" s="11">
        <v>22568</v>
      </c>
      <c r="H158" s="11">
        <v>22568</v>
      </c>
      <c r="I158" s="11">
        <v>22568</v>
      </c>
      <c r="J158" s="11">
        <v>22568</v>
      </c>
      <c r="K158" s="11">
        <v>22568</v>
      </c>
      <c r="L158" s="11">
        <v>22568</v>
      </c>
      <c r="M158" s="11">
        <v>22568</v>
      </c>
      <c r="N158" s="11"/>
      <c r="O158" s="11"/>
      <c r="P158" s="11"/>
      <c r="Q158" s="11"/>
      <c r="R158" s="11"/>
    </row>
    <row r="159" spans="1:18" x14ac:dyDescent="0.3">
      <c r="A159" s="12" t="s">
        <v>44</v>
      </c>
      <c r="B159" s="11">
        <f>B118*3.5</f>
        <v>32455.5</v>
      </c>
      <c r="C159" s="11">
        <f>C118*4</f>
        <v>37152</v>
      </c>
      <c r="D159" s="11">
        <f>D118*4</f>
        <v>37220</v>
      </c>
      <c r="E159" s="11">
        <f>E118*4</f>
        <v>37220</v>
      </c>
      <c r="F159" s="11">
        <f>F118*4</f>
        <v>37252</v>
      </c>
      <c r="G159" s="11">
        <f>G118*4</f>
        <v>37316</v>
      </c>
      <c r="H159" s="11">
        <f>H118*4</f>
        <v>37372</v>
      </c>
      <c r="I159" s="11">
        <f>I118*4</f>
        <v>37428</v>
      </c>
      <c r="J159" s="11">
        <f>J118*4</f>
        <v>37456</v>
      </c>
      <c r="K159" s="11">
        <f>K118*4</f>
        <v>37516</v>
      </c>
      <c r="L159" s="11">
        <f>L118*4</f>
        <v>37576</v>
      </c>
      <c r="M159" s="11">
        <f>M118*4</f>
        <v>37616</v>
      </c>
      <c r="N159" s="11"/>
      <c r="O159" s="11"/>
      <c r="P159" s="11"/>
      <c r="Q159" s="11"/>
      <c r="R159" s="11"/>
    </row>
    <row r="160" spans="1:18" x14ac:dyDescent="0.3">
      <c r="A160" s="12" t="s">
        <v>43</v>
      </c>
      <c r="B160" s="11">
        <f>B159*B132</f>
        <v>31559.253323029367</v>
      </c>
      <c r="C160" s="11">
        <f>C159*C132</f>
        <v>36127.644444444442</v>
      </c>
      <c r="D160" s="11">
        <f>D159*D132</f>
        <v>36111.579379749433</v>
      </c>
      <c r="E160" s="11">
        <f>E159*E132</f>
        <v>36195.666461285684</v>
      </c>
      <c r="F160" s="11">
        <f>F159*F132</f>
        <v>36227.627334290992</v>
      </c>
      <c r="G160" s="11">
        <f>G159*G132</f>
        <v>36291.444319229588</v>
      </c>
      <c r="H160" s="11">
        <f>H159*H132</f>
        <v>36347.376368286445</v>
      </c>
      <c r="I160" s="11">
        <f>I159*I132</f>
        <v>36403.622549019608</v>
      </c>
      <c r="J160" s="11">
        <f>J159*J132</f>
        <v>36431.588529441782</v>
      </c>
      <c r="K160" s="11">
        <f>K159*K132</f>
        <v>36491.202527774942</v>
      </c>
      <c r="L160" s="11">
        <f>L159*L132</f>
        <v>36551.026157760818</v>
      </c>
      <c r="M160" s="11">
        <f>M159*M132</f>
        <v>36591.186743925995</v>
      </c>
      <c r="N160" s="11"/>
      <c r="O160" s="11"/>
      <c r="P160" s="11"/>
      <c r="Q160" s="11"/>
      <c r="R160" s="11"/>
    </row>
    <row r="161" spans="1:19" x14ac:dyDescent="0.3">
      <c r="A161" s="12" t="s">
        <v>42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/>
      <c r="O161" s="11"/>
      <c r="P161" s="11"/>
      <c r="Q161" s="11"/>
      <c r="R161" s="11"/>
    </row>
    <row r="162" spans="1:19" x14ac:dyDescent="0.3">
      <c r="A162" s="12" t="s">
        <v>41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/>
      <c r="O162" s="11"/>
      <c r="P162" s="11"/>
      <c r="Q162" s="11"/>
      <c r="R162" s="11"/>
    </row>
    <row r="163" spans="1:19" x14ac:dyDescent="0.3">
      <c r="A163" s="12" t="s">
        <v>40</v>
      </c>
      <c r="B163" s="11">
        <v>5219</v>
      </c>
      <c r="C163" s="11">
        <v>4601</v>
      </c>
      <c r="D163" s="11">
        <v>4818</v>
      </c>
      <c r="E163" s="11">
        <v>5148</v>
      </c>
      <c r="F163" s="11">
        <v>5389</v>
      </c>
      <c r="G163" s="11">
        <v>5125</v>
      </c>
      <c r="H163" s="11">
        <v>5272</v>
      </c>
      <c r="I163" s="11">
        <v>5205</v>
      </c>
      <c r="J163" s="11">
        <v>5169</v>
      </c>
      <c r="K163" s="11">
        <v>5115</v>
      </c>
      <c r="L163" s="11">
        <v>5157</v>
      </c>
      <c r="M163" s="11">
        <v>5159</v>
      </c>
      <c r="N163" s="11"/>
      <c r="O163" s="11"/>
      <c r="P163" s="11"/>
      <c r="Q163" s="11"/>
      <c r="R163" s="11"/>
      <c r="S163" s="10">
        <v>15</v>
      </c>
    </row>
    <row r="164" spans="1:19" x14ac:dyDescent="0.3">
      <c r="A164" s="12" t="s">
        <v>39</v>
      </c>
      <c r="B164" s="11">
        <v>1179</v>
      </c>
      <c r="C164" s="11">
        <v>1211</v>
      </c>
      <c r="D164" s="11">
        <v>1645</v>
      </c>
      <c r="E164" s="11">
        <v>1837</v>
      </c>
      <c r="F164" s="11">
        <v>1882</v>
      </c>
      <c r="G164" s="11">
        <v>1928</v>
      </c>
      <c r="H164" s="11">
        <v>1939</v>
      </c>
      <c r="I164" s="11">
        <v>1960</v>
      </c>
      <c r="J164" s="11">
        <v>1980</v>
      </c>
      <c r="K164" s="11">
        <v>1955</v>
      </c>
      <c r="L164" s="11">
        <v>2012</v>
      </c>
      <c r="M164" s="11">
        <v>2020</v>
      </c>
      <c r="N164" s="11"/>
      <c r="O164" s="11"/>
      <c r="P164" s="11"/>
      <c r="Q164" s="11"/>
      <c r="R164" s="11"/>
      <c r="S164" s="10">
        <v>16</v>
      </c>
    </row>
    <row r="165" spans="1:19" x14ac:dyDescent="0.3">
      <c r="A165" s="12" t="s">
        <v>38</v>
      </c>
      <c r="B165" s="38">
        <v>1</v>
      </c>
      <c r="C165" s="38">
        <v>1</v>
      </c>
      <c r="D165" s="38">
        <v>1</v>
      </c>
      <c r="E165" s="38">
        <v>1</v>
      </c>
      <c r="F165" s="38">
        <v>1</v>
      </c>
      <c r="G165" s="38">
        <v>1</v>
      </c>
      <c r="H165" s="38">
        <v>1</v>
      </c>
      <c r="I165" s="38">
        <v>1</v>
      </c>
      <c r="J165" s="38">
        <v>1</v>
      </c>
      <c r="K165" s="38">
        <v>1</v>
      </c>
      <c r="L165" s="38">
        <v>1</v>
      </c>
      <c r="M165" s="38">
        <v>1</v>
      </c>
      <c r="N165" s="11"/>
      <c r="O165" s="11"/>
      <c r="P165" s="11"/>
      <c r="Q165" s="11"/>
      <c r="R165" s="11"/>
    </row>
    <row r="166" spans="1:19" x14ac:dyDescent="0.3">
      <c r="A166" s="12" t="s">
        <v>37</v>
      </c>
      <c r="B166" s="38">
        <v>1.53</v>
      </c>
      <c r="C166" s="38">
        <v>1.53</v>
      </c>
      <c r="D166" s="38">
        <v>1.53</v>
      </c>
      <c r="E166" s="38">
        <v>1.53</v>
      </c>
      <c r="F166" s="38">
        <v>1.53</v>
      </c>
      <c r="G166" s="38">
        <v>1.53</v>
      </c>
      <c r="H166" s="38">
        <v>1.53</v>
      </c>
      <c r="I166" s="38">
        <v>1.53</v>
      </c>
      <c r="J166" s="38">
        <v>1.53</v>
      </c>
      <c r="K166" s="38">
        <v>1.53</v>
      </c>
      <c r="L166" s="38">
        <v>1.53</v>
      </c>
      <c r="M166" s="38">
        <v>1.53</v>
      </c>
      <c r="N166" s="11"/>
      <c r="O166" s="11"/>
      <c r="P166" s="11"/>
      <c r="Q166" s="11"/>
      <c r="R166" s="11"/>
    </row>
    <row r="167" spans="1:19" x14ac:dyDescent="0.3">
      <c r="A167" s="12" t="s">
        <v>36</v>
      </c>
      <c r="B167" s="38">
        <v>3</v>
      </c>
      <c r="C167" s="38">
        <v>3</v>
      </c>
      <c r="D167" s="38">
        <v>3</v>
      </c>
      <c r="E167" s="38">
        <v>3</v>
      </c>
      <c r="F167" s="38">
        <v>3</v>
      </c>
      <c r="G167" s="38">
        <v>3</v>
      </c>
      <c r="H167" s="38">
        <v>3</v>
      </c>
      <c r="I167" s="38">
        <v>3</v>
      </c>
      <c r="J167" s="38">
        <v>3</v>
      </c>
      <c r="K167" s="38">
        <v>3</v>
      </c>
      <c r="L167" s="38">
        <v>3</v>
      </c>
      <c r="M167" s="38">
        <v>3</v>
      </c>
      <c r="N167" s="11"/>
      <c r="O167" s="11"/>
      <c r="P167" s="11"/>
      <c r="Q167" s="11"/>
      <c r="R167" s="11"/>
    </row>
    <row r="168" spans="1:19" x14ac:dyDescent="0.3">
      <c r="A168" s="12" t="s">
        <v>35</v>
      </c>
      <c r="B168" s="38">
        <v>96</v>
      </c>
      <c r="C168" s="38">
        <v>96</v>
      </c>
      <c r="D168" s="38">
        <v>96</v>
      </c>
      <c r="E168" s="38">
        <v>96</v>
      </c>
      <c r="F168" s="38">
        <v>96</v>
      </c>
      <c r="G168" s="38">
        <v>96</v>
      </c>
      <c r="H168" s="38">
        <v>96</v>
      </c>
      <c r="I168" s="38">
        <v>96</v>
      </c>
      <c r="J168" s="38">
        <v>96</v>
      </c>
      <c r="K168" s="38">
        <v>96</v>
      </c>
      <c r="L168" s="38">
        <v>96</v>
      </c>
      <c r="M168" s="38">
        <v>96</v>
      </c>
      <c r="N168" s="11"/>
      <c r="O168" s="11"/>
      <c r="P168" s="11"/>
      <c r="Q168" s="11"/>
      <c r="R168" s="11"/>
    </row>
    <row r="169" spans="1:19" x14ac:dyDescent="0.3">
      <c r="A169" s="12" t="s">
        <v>34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39"/>
      <c r="O169" s="39"/>
      <c r="P169" s="39"/>
      <c r="Q169" s="39"/>
      <c r="R169" s="39"/>
    </row>
    <row r="170" spans="1:19" x14ac:dyDescent="0.3">
      <c r="A170" s="12" t="s">
        <v>33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38"/>
      <c r="O170" s="38"/>
      <c r="P170" s="38"/>
      <c r="Q170" s="38"/>
      <c r="R170" s="38"/>
    </row>
    <row r="171" spans="1:19" x14ac:dyDescent="0.3">
      <c r="A171" s="12" t="s">
        <v>32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8"/>
      <c r="O171" s="38"/>
      <c r="P171" s="38"/>
      <c r="Q171" s="38"/>
      <c r="R171" s="38"/>
    </row>
    <row r="172" spans="1:19" x14ac:dyDescent="0.3">
      <c r="A172" s="30" t="s">
        <v>31</v>
      </c>
      <c r="B172" s="11">
        <v>146</v>
      </c>
      <c r="C172" s="11">
        <v>137</v>
      </c>
      <c r="D172" s="11">
        <v>155</v>
      </c>
      <c r="E172" s="11">
        <v>125</v>
      </c>
      <c r="F172" s="11">
        <v>67</v>
      </c>
      <c r="G172" s="11">
        <v>64</v>
      </c>
      <c r="H172" s="11">
        <v>55</v>
      </c>
      <c r="I172" s="11">
        <v>114</v>
      </c>
      <c r="J172" s="11">
        <v>113</v>
      </c>
      <c r="K172" s="11">
        <v>79</v>
      </c>
      <c r="L172" s="11">
        <v>73</v>
      </c>
      <c r="M172" s="11">
        <v>98</v>
      </c>
      <c r="N172" s="11"/>
      <c r="O172" s="11"/>
      <c r="P172" s="11"/>
      <c r="Q172" s="11"/>
      <c r="R172" s="11"/>
    </row>
    <row r="173" spans="1:19" x14ac:dyDescent="0.3">
      <c r="A173" s="12" t="s">
        <v>30</v>
      </c>
      <c r="B173" s="11">
        <f>B116</f>
        <v>9705</v>
      </c>
      <c r="C173" s="11">
        <f>C116</f>
        <v>9720</v>
      </c>
      <c r="D173" s="11">
        <v>9720</v>
      </c>
      <c r="E173" s="11">
        <f>E116</f>
        <v>9738</v>
      </c>
      <c r="F173" s="11">
        <f>F116</f>
        <v>9746</v>
      </c>
      <c r="G173" s="11">
        <v>9761</v>
      </c>
      <c r="H173" s="11">
        <v>9775</v>
      </c>
      <c r="I173" s="11">
        <v>9792</v>
      </c>
      <c r="J173" s="11">
        <v>9799</v>
      </c>
      <c r="K173" s="11">
        <v>9811</v>
      </c>
      <c r="L173" s="11">
        <v>9825</v>
      </c>
      <c r="M173" s="11">
        <v>9837</v>
      </c>
      <c r="N173" s="11"/>
      <c r="O173" s="11"/>
      <c r="P173" s="11"/>
      <c r="Q173" s="11"/>
      <c r="R173" s="11"/>
    </row>
    <row r="174" spans="1:19" x14ac:dyDescent="0.3">
      <c r="A174" s="12" t="s">
        <v>29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11"/>
      <c r="O174" s="11"/>
      <c r="P174" s="11"/>
      <c r="Q174" s="11"/>
      <c r="R174" s="11"/>
    </row>
    <row r="175" spans="1:19" x14ac:dyDescent="0.3">
      <c r="A175" s="12" t="s">
        <v>28</v>
      </c>
      <c r="B175" s="11">
        <v>8</v>
      </c>
      <c r="C175" s="11">
        <v>8</v>
      </c>
      <c r="D175" s="11">
        <v>8</v>
      </c>
      <c r="E175" s="11">
        <v>8</v>
      </c>
      <c r="F175" s="11">
        <v>8</v>
      </c>
      <c r="G175" s="11">
        <v>8</v>
      </c>
      <c r="H175" s="11">
        <v>8</v>
      </c>
      <c r="I175" s="11">
        <v>8</v>
      </c>
      <c r="J175" s="11">
        <v>8</v>
      </c>
      <c r="K175" s="11">
        <v>8</v>
      </c>
      <c r="L175" s="11">
        <v>8</v>
      </c>
      <c r="M175" s="11">
        <v>8</v>
      </c>
      <c r="N175" s="11"/>
      <c r="O175" s="11"/>
      <c r="P175" s="11"/>
      <c r="Q175" s="11"/>
      <c r="R175" s="11"/>
    </row>
    <row r="176" spans="1:19" x14ac:dyDescent="0.3">
      <c r="A176" s="12" t="s">
        <v>27</v>
      </c>
      <c r="B176" s="11">
        <v>8</v>
      </c>
      <c r="C176" s="11">
        <v>8</v>
      </c>
      <c r="D176" s="11">
        <v>8</v>
      </c>
      <c r="E176" s="11">
        <v>8</v>
      </c>
      <c r="F176" s="11">
        <v>8</v>
      </c>
      <c r="G176" s="11">
        <v>8</v>
      </c>
      <c r="H176" s="11">
        <v>8</v>
      </c>
      <c r="I176" s="11">
        <v>8</v>
      </c>
      <c r="J176" s="11">
        <v>8</v>
      </c>
      <c r="K176" s="11">
        <v>8</v>
      </c>
      <c r="L176" s="11">
        <v>8</v>
      </c>
      <c r="M176" s="11">
        <v>8</v>
      </c>
      <c r="N176" s="11"/>
      <c r="O176" s="11"/>
      <c r="P176" s="11"/>
      <c r="Q176" s="11"/>
      <c r="R176" s="11"/>
    </row>
    <row r="177" spans="1:19" x14ac:dyDescent="0.3">
      <c r="A177" s="12" t="s">
        <v>26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/>
      <c r="O177" s="11"/>
      <c r="P177" s="11"/>
      <c r="Q177" s="11"/>
      <c r="R177" s="11"/>
    </row>
    <row r="178" spans="1:19" x14ac:dyDescent="0.3">
      <c r="A178" s="36" t="s">
        <v>25</v>
      </c>
      <c r="B178" s="35">
        <f>+B179+B180+B181+B182+B183</f>
        <v>8</v>
      </c>
      <c r="C178" s="35">
        <f>+C179+C180+C181+C182+C183</f>
        <v>8</v>
      </c>
      <c r="D178" s="34">
        <f>+D179+D180+D181+D182+D183</f>
        <v>8</v>
      </c>
      <c r="E178" s="34">
        <f>+E179+E180+E181+E182+E183</f>
        <v>8</v>
      </c>
      <c r="F178" s="34">
        <f>+F179+F180+F181+F182+F183</f>
        <v>8</v>
      </c>
      <c r="G178" s="34">
        <f>+G179+G180+G181+G182+G183</f>
        <v>8</v>
      </c>
      <c r="H178" s="34">
        <f>+H179+H180+H181+H182+H183</f>
        <v>8</v>
      </c>
      <c r="I178" s="34">
        <f>+I179+I180+I181+I182+I183</f>
        <v>8</v>
      </c>
      <c r="J178" s="34">
        <f>+J179+J180+J181+J182+J183</f>
        <v>8</v>
      </c>
      <c r="K178" s="34">
        <f>+K179+K180+K181+K182+K183</f>
        <v>8</v>
      </c>
      <c r="L178" s="34">
        <f>+L179+L180+L181+L182+L183</f>
        <v>8</v>
      </c>
      <c r="M178" s="34">
        <f>+M179+M180+M181+M182+M183</f>
        <v>8</v>
      </c>
      <c r="N178" s="34"/>
      <c r="O178" s="34"/>
      <c r="P178" s="34"/>
      <c r="Q178" s="34"/>
      <c r="R178" s="34"/>
    </row>
    <row r="179" spans="1:19" x14ac:dyDescent="0.3">
      <c r="A179" s="12" t="s">
        <v>24</v>
      </c>
      <c r="B179" s="11">
        <v>8</v>
      </c>
      <c r="C179" s="11">
        <v>8</v>
      </c>
      <c r="D179" s="11">
        <v>8</v>
      </c>
      <c r="E179" s="11">
        <v>8</v>
      </c>
      <c r="F179" s="11">
        <v>8</v>
      </c>
      <c r="G179" s="11">
        <v>8</v>
      </c>
      <c r="H179" s="11">
        <v>8</v>
      </c>
      <c r="I179" s="11">
        <v>8</v>
      </c>
      <c r="J179" s="11">
        <v>8</v>
      </c>
      <c r="K179" s="11">
        <v>8</v>
      </c>
      <c r="L179" s="11">
        <v>8</v>
      </c>
      <c r="M179" s="11">
        <v>8</v>
      </c>
      <c r="N179" s="11"/>
      <c r="O179" s="11"/>
      <c r="P179" s="11"/>
      <c r="Q179" s="11"/>
      <c r="R179" s="11"/>
    </row>
    <row r="180" spans="1:19" x14ac:dyDescent="0.3">
      <c r="A180" s="12" t="s">
        <v>23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/>
      <c r="O180" s="11"/>
      <c r="P180" s="11"/>
      <c r="Q180" s="11"/>
      <c r="R180" s="11"/>
    </row>
    <row r="181" spans="1:19" x14ac:dyDescent="0.3">
      <c r="A181" s="12" t="s">
        <v>22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11"/>
      <c r="O181" s="11"/>
      <c r="P181" s="11"/>
      <c r="Q181" s="11"/>
      <c r="R181" s="11"/>
    </row>
    <row r="182" spans="1:19" x14ac:dyDescent="0.3">
      <c r="A182" s="12" t="s">
        <v>21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11"/>
      <c r="O182" s="11"/>
      <c r="P182" s="11"/>
      <c r="Q182" s="11"/>
      <c r="R182" s="11"/>
    </row>
    <row r="183" spans="1:19" x14ac:dyDescent="0.3">
      <c r="A183" s="12" t="s">
        <v>20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11"/>
      <c r="O183" s="11"/>
      <c r="P183" s="11"/>
      <c r="Q183" s="11"/>
      <c r="R183" s="11"/>
    </row>
    <row r="184" spans="1:19" ht="22.5" customHeight="1" x14ac:dyDescent="0.3">
      <c r="A184" s="32" t="s">
        <v>19</v>
      </c>
      <c r="B184" s="31">
        <v>8</v>
      </c>
      <c r="C184" s="31">
        <v>8</v>
      </c>
      <c r="D184" s="31">
        <v>8</v>
      </c>
      <c r="E184" s="31">
        <v>8</v>
      </c>
      <c r="F184" s="31">
        <v>8</v>
      </c>
      <c r="G184" s="31">
        <v>8</v>
      </c>
      <c r="H184" s="31">
        <v>8</v>
      </c>
      <c r="I184" s="31">
        <v>8</v>
      </c>
      <c r="J184" s="31">
        <v>8</v>
      </c>
      <c r="K184" s="31">
        <v>8</v>
      </c>
      <c r="L184" s="31">
        <v>8</v>
      </c>
      <c r="M184" s="31">
        <v>8</v>
      </c>
      <c r="N184" s="31"/>
      <c r="O184" s="31"/>
      <c r="P184" s="31"/>
      <c r="Q184" s="31"/>
      <c r="R184" s="31"/>
    </row>
    <row r="185" spans="1:19" x14ac:dyDescent="0.3">
      <c r="A185" s="3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9" x14ac:dyDescent="0.3">
      <c r="A186" s="12" t="s">
        <v>18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/>
      <c r="O186" s="11"/>
      <c r="P186" s="11"/>
      <c r="Q186" s="11"/>
      <c r="R186" s="11"/>
    </row>
    <row r="187" spans="1:19" ht="16.2" x14ac:dyDescent="0.3">
      <c r="A187" s="12" t="s">
        <v>17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/>
      <c r="O187" s="11"/>
      <c r="P187" s="11"/>
      <c r="Q187" s="11"/>
      <c r="R187" s="11"/>
    </row>
    <row r="188" spans="1:19" x14ac:dyDescent="0.3">
      <c r="A188" s="2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9" x14ac:dyDescent="0.3">
      <c r="A189" s="28"/>
      <c r="B189" s="27"/>
      <c r="C189" s="27"/>
      <c r="D189" s="27"/>
      <c r="E189" s="27"/>
      <c r="F189" s="27"/>
      <c r="G189" s="2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9" x14ac:dyDescent="0.3">
      <c r="A190" s="17" t="s">
        <v>16</v>
      </c>
      <c r="B190" s="26">
        <f>+B191+B198+B199</f>
        <v>32</v>
      </c>
      <c r="C190" s="26">
        <f>+C191+C198+C199</f>
        <v>32</v>
      </c>
      <c r="D190" s="26">
        <f>+D191+D198+D199</f>
        <v>32</v>
      </c>
      <c r="E190" s="26">
        <f>+E191+E198+E199</f>
        <v>32</v>
      </c>
      <c r="F190" s="26">
        <f>+F191+F198+F199</f>
        <v>34</v>
      </c>
      <c r="G190" s="26">
        <f>+G191+G198+G199</f>
        <v>35</v>
      </c>
      <c r="H190" s="26">
        <f>+H191+H198+H199</f>
        <v>35</v>
      </c>
      <c r="I190" s="26">
        <f>+I191+I198+I199</f>
        <v>35</v>
      </c>
      <c r="J190" s="26">
        <f>+J191+J198+J199</f>
        <v>33</v>
      </c>
      <c r="K190" s="26">
        <f>+K191+K198+K199</f>
        <v>33</v>
      </c>
      <c r="L190" s="26">
        <f>+L191+L198+L199</f>
        <v>33</v>
      </c>
      <c r="M190" s="26">
        <f>+M191+M198+M199</f>
        <v>33</v>
      </c>
      <c r="N190" s="26"/>
      <c r="O190" s="26"/>
      <c r="P190" s="26"/>
      <c r="Q190" s="26"/>
      <c r="R190" s="26"/>
    </row>
    <row r="191" spans="1:19" ht="15.6" x14ac:dyDescent="0.3">
      <c r="A191" s="25" t="s">
        <v>15</v>
      </c>
      <c r="B191" s="24">
        <f>SUM(B192:B197)</f>
        <v>32</v>
      </c>
      <c r="C191" s="24">
        <f>SUM(C192:C197)</f>
        <v>32</v>
      </c>
      <c r="D191" s="24">
        <f>SUM(D192:D197)</f>
        <v>32</v>
      </c>
      <c r="E191" s="24">
        <f>SUM(E192:E197)</f>
        <v>32</v>
      </c>
      <c r="F191" s="24">
        <f>SUM(F192:F197)</f>
        <v>34</v>
      </c>
      <c r="G191" s="24">
        <f>SUM(G192:G197)</f>
        <v>35</v>
      </c>
      <c r="H191" s="24">
        <f>SUM(H192:H197)</f>
        <v>35</v>
      </c>
      <c r="I191" s="24">
        <f>SUM(I192:I197)</f>
        <v>35</v>
      </c>
      <c r="J191" s="24">
        <f>SUM(J192:J197)</f>
        <v>33</v>
      </c>
      <c r="K191" s="24">
        <f>SUM(K192:K197)</f>
        <v>33</v>
      </c>
      <c r="L191" s="24">
        <f>SUM(L192:L197)</f>
        <v>33</v>
      </c>
      <c r="M191" s="24">
        <f>SUM(M192:M197)</f>
        <v>33</v>
      </c>
      <c r="N191" s="24"/>
      <c r="O191" s="24"/>
      <c r="P191" s="24"/>
      <c r="Q191" s="24"/>
      <c r="R191" s="24"/>
    </row>
    <row r="192" spans="1:19" x14ac:dyDescent="0.3">
      <c r="A192" s="23" t="s">
        <v>14</v>
      </c>
      <c r="B192" s="11">
        <v>6</v>
      </c>
      <c r="C192" s="11">
        <v>6</v>
      </c>
      <c r="D192" s="11">
        <v>6</v>
      </c>
      <c r="E192" s="11">
        <v>6</v>
      </c>
      <c r="F192" s="11">
        <v>6</v>
      </c>
      <c r="G192" s="11">
        <v>6</v>
      </c>
      <c r="H192" s="11">
        <v>6</v>
      </c>
      <c r="I192" s="11">
        <v>6</v>
      </c>
      <c r="J192" s="11">
        <v>5</v>
      </c>
      <c r="K192" s="11">
        <v>5</v>
      </c>
      <c r="L192" s="11">
        <v>5</v>
      </c>
      <c r="M192" s="11">
        <v>5</v>
      </c>
      <c r="N192" s="11"/>
      <c r="O192" s="11"/>
      <c r="P192" s="11"/>
      <c r="Q192" s="11"/>
      <c r="R192" s="11"/>
      <c r="S192" s="10">
        <v>18</v>
      </c>
    </row>
    <row r="193" spans="1:19" x14ac:dyDescent="0.3">
      <c r="A193" s="23" t="s">
        <v>11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/>
      <c r="O193" s="11"/>
      <c r="P193" s="11"/>
      <c r="Q193" s="11"/>
      <c r="R193" s="11"/>
      <c r="S193" s="10">
        <v>17</v>
      </c>
    </row>
    <row r="194" spans="1:19" x14ac:dyDescent="0.3">
      <c r="A194" s="23" t="s">
        <v>13</v>
      </c>
      <c r="B194" s="11">
        <v>11</v>
      </c>
      <c r="C194" s="11">
        <v>11</v>
      </c>
      <c r="D194" s="11">
        <v>11</v>
      </c>
      <c r="E194" s="11">
        <v>11</v>
      </c>
      <c r="F194" s="11">
        <v>12</v>
      </c>
      <c r="G194" s="11">
        <v>12</v>
      </c>
      <c r="H194" s="11">
        <v>12</v>
      </c>
      <c r="I194" s="11">
        <v>12</v>
      </c>
      <c r="J194" s="11">
        <v>12</v>
      </c>
      <c r="K194" s="11">
        <v>12</v>
      </c>
      <c r="L194" s="11">
        <v>12</v>
      </c>
      <c r="M194" s="11">
        <v>12</v>
      </c>
      <c r="N194" s="11"/>
      <c r="O194" s="11"/>
      <c r="P194" s="11"/>
      <c r="Q194" s="11"/>
      <c r="R194" s="11"/>
      <c r="S194" s="10">
        <v>18</v>
      </c>
    </row>
    <row r="195" spans="1:19" x14ac:dyDescent="0.3">
      <c r="A195" s="23" t="s">
        <v>11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/>
      <c r="O195" s="11"/>
      <c r="P195" s="11"/>
      <c r="Q195" s="11"/>
      <c r="R195" s="11"/>
      <c r="S195" s="10">
        <v>17</v>
      </c>
    </row>
    <row r="196" spans="1:19" x14ac:dyDescent="0.3">
      <c r="A196" s="23" t="s">
        <v>12</v>
      </c>
      <c r="B196" s="11">
        <v>15</v>
      </c>
      <c r="C196" s="11">
        <v>15</v>
      </c>
      <c r="D196" s="11">
        <v>15</v>
      </c>
      <c r="E196" s="11">
        <v>15</v>
      </c>
      <c r="F196" s="11">
        <v>16</v>
      </c>
      <c r="G196" s="11">
        <v>17</v>
      </c>
      <c r="H196" s="11">
        <v>17</v>
      </c>
      <c r="I196" s="11">
        <v>17</v>
      </c>
      <c r="J196" s="11">
        <v>16</v>
      </c>
      <c r="K196" s="11">
        <v>16</v>
      </c>
      <c r="L196" s="11">
        <v>16</v>
      </c>
      <c r="M196" s="11">
        <v>16</v>
      </c>
      <c r="N196" s="11"/>
      <c r="O196" s="11"/>
      <c r="P196" s="11"/>
      <c r="Q196" s="11"/>
      <c r="R196" s="4"/>
      <c r="S196" s="10">
        <v>18</v>
      </c>
    </row>
    <row r="197" spans="1:19" x14ac:dyDescent="0.3">
      <c r="A197" s="23" t="s">
        <v>11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/>
      <c r="O197" s="11"/>
      <c r="P197" s="11"/>
      <c r="Q197" s="11"/>
      <c r="R197" s="4"/>
      <c r="S197" s="10">
        <v>17</v>
      </c>
    </row>
    <row r="198" spans="1:19" ht="15.6" x14ac:dyDescent="0.3">
      <c r="A198" s="22" t="s">
        <v>10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/>
      <c r="O198" s="11"/>
      <c r="P198" s="11"/>
      <c r="Q198" s="11"/>
      <c r="R198" s="4"/>
      <c r="S198" s="10">
        <v>20</v>
      </c>
    </row>
    <row r="199" spans="1:19" x14ac:dyDescent="0.3">
      <c r="A199" s="21" t="s">
        <v>9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/>
      <c r="O199" s="11"/>
      <c r="P199" s="11"/>
      <c r="Q199" s="11"/>
      <c r="R199" s="4"/>
      <c r="S199" s="10">
        <v>19</v>
      </c>
    </row>
    <row r="200" spans="1:19" x14ac:dyDescent="0.3">
      <c r="A200" s="20"/>
      <c r="B200" s="18"/>
      <c r="C200" s="18"/>
      <c r="D200" s="18"/>
      <c r="E200" s="18"/>
      <c r="F200" s="18"/>
      <c r="G200" s="18"/>
      <c r="H200" s="18"/>
      <c r="I200" s="19"/>
      <c r="J200" s="18"/>
      <c r="K200" s="18"/>
      <c r="L200" s="18"/>
      <c r="M200" s="18"/>
      <c r="N200" s="18"/>
      <c r="O200" s="18"/>
      <c r="P200" s="18"/>
      <c r="Q200" s="18"/>
      <c r="R200" s="4"/>
    </row>
    <row r="201" spans="1:19" x14ac:dyDescent="0.3">
      <c r="A201" s="17" t="s">
        <v>8</v>
      </c>
      <c r="B201" s="13"/>
      <c r="C201" s="13"/>
      <c r="D201" s="13"/>
      <c r="E201" s="13"/>
      <c r="F201" s="13"/>
      <c r="G201" s="13"/>
      <c r="H201" s="13"/>
      <c r="I201" s="16"/>
      <c r="J201" s="13"/>
      <c r="K201" s="13"/>
      <c r="L201" s="15"/>
      <c r="M201" s="14"/>
      <c r="N201" s="13"/>
      <c r="O201" s="13"/>
      <c r="P201" s="13"/>
      <c r="Q201" s="13"/>
      <c r="R201" s="4"/>
    </row>
    <row r="202" spans="1:19" x14ac:dyDescent="0.3">
      <c r="A202" s="12" t="s">
        <v>7</v>
      </c>
      <c r="B202" s="11">
        <v>12</v>
      </c>
      <c r="C202" s="11">
        <v>12</v>
      </c>
      <c r="D202" s="11">
        <v>12</v>
      </c>
      <c r="E202" s="11">
        <v>12</v>
      </c>
      <c r="F202" s="11">
        <v>12</v>
      </c>
      <c r="G202" s="11">
        <v>12</v>
      </c>
      <c r="H202" s="11">
        <v>12</v>
      </c>
      <c r="I202" s="11">
        <v>12</v>
      </c>
      <c r="J202" s="11">
        <v>12</v>
      </c>
      <c r="K202" s="11">
        <v>12</v>
      </c>
      <c r="L202" s="11">
        <v>12</v>
      </c>
      <c r="M202" s="11">
        <v>12</v>
      </c>
      <c r="N202" s="11"/>
      <c r="O202" s="11"/>
      <c r="P202" s="11"/>
      <c r="Q202" s="11"/>
      <c r="R202" s="4"/>
    </row>
    <row r="203" spans="1:19" x14ac:dyDescent="0.3">
      <c r="A203" s="12" t="s">
        <v>6</v>
      </c>
      <c r="B203" s="11">
        <v>169</v>
      </c>
      <c r="C203" s="11">
        <v>177</v>
      </c>
      <c r="D203" s="11">
        <v>153</v>
      </c>
      <c r="E203" s="11">
        <v>101</v>
      </c>
      <c r="F203" s="11">
        <v>87</v>
      </c>
      <c r="G203" s="11">
        <v>85</v>
      </c>
      <c r="H203" s="11">
        <v>95</v>
      </c>
      <c r="I203" s="11">
        <v>83</v>
      </c>
      <c r="J203" s="11">
        <v>131</v>
      </c>
      <c r="K203" s="11">
        <v>131</v>
      </c>
      <c r="L203" s="11">
        <v>110</v>
      </c>
      <c r="M203" s="11">
        <v>105</v>
      </c>
      <c r="N203" s="11"/>
      <c r="O203" s="11"/>
      <c r="P203" s="11"/>
      <c r="Q203" s="11"/>
      <c r="R203" s="4"/>
    </row>
    <row r="204" spans="1:19" x14ac:dyDescent="0.3">
      <c r="A204" s="12" t="s">
        <v>5</v>
      </c>
      <c r="B204" s="11">
        <v>169</v>
      </c>
      <c r="C204" s="11">
        <v>177</v>
      </c>
      <c r="D204" s="11">
        <v>153</v>
      </c>
      <c r="E204" s="11">
        <v>101</v>
      </c>
      <c r="F204" s="11">
        <v>87</v>
      </c>
      <c r="G204" s="11">
        <v>85</v>
      </c>
      <c r="H204" s="11">
        <v>95</v>
      </c>
      <c r="I204" s="11">
        <v>83</v>
      </c>
      <c r="J204" s="11">
        <v>131</v>
      </c>
      <c r="K204" s="11">
        <v>131</v>
      </c>
      <c r="L204" s="11">
        <v>110</v>
      </c>
      <c r="M204" s="11">
        <v>150</v>
      </c>
      <c r="N204" s="11"/>
      <c r="O204" s="11"/>
      <c r="P204" s="11"/>
      <c r="Q204" s="11"/>
      <c r="R204" s="4"/>
    </row>
    <row r="205" spans="1:19" x14ac:dyDescent="0.3">
      <c r="A205" s="12" t="s">
        <v>4</v>
      </c>
      <c r="B205" s="11">
        <v>52</v>
      </c>
      <c r="C205" s="11">
        <v>52</v>
      </c>
      <c r="D205" s="11">
        <v>78</v>
      </c>
      <c r="E205" s="11">
        <v>208</v>
      </c>
      <c r="F205" s="11">
        <v>598</v>
      </c>
      <c r="G205" s="11">
        <v>910</v>
      </c>
      <c r="H205" s="11">
        <v>468</v>
      </c>
      <c r="I205" s="11">
        <v>598</v>
      </c>
      <c r="J205" s="11">
        <v>468</v>
      </c>
      <c r="K205" s="11">
        <v>650</v>
      </c>
      <c r="L205" s="11">
        <v>598</v>
      </c>
      <c r="M205" s="11">
        <v>0</v>
      </c>
      <c r="N205" s="11"/>
      <c r="O205" s="11"/>
      <c r="P205" s="11"/>
      <c r="Q205" s="11"/>
      <c r="R205" s="4"/>
    </row>
    <row r="206" spans="1:19" x14ac:dyDescent="0.3">
      <c r="A206" s="12" t="s">
        <v>3</v>
      </c>
      <c r="B206" s="11">
        <v>169</v>
      </c>
      <c r="C206" s="11">
        <v>177</v>
      </c>
      <c r="D206" s="11">
        <v>153</v>
      </c>
      <c r="E206" s="11">
        <v>101</v>
      </c>
      <c r="F206" s="11">
        <v>102</v>
      </c>
      <c r="G206" s="11">
        <v>109</v>
      </c>
      <c r="H206" s="11">
        <v>125</v>
      </c>
      <c r="I206" s="11">
        <v>110</v>
      </c>
      <c r="J206" s="11">
        <v>173</v>
      </c>
      <c r="K206" s="11">
        <v>160</v>
      </c>
      <c r="L206" s="11">
        <v>142</v>
      </c>
      <c r="M206" s="11">
        <v>135</v>
      </c>
      <c r="N206" s="11"/>
      <c r="O206" s="11"/>
      <c r="P206" s="11"/>
      <c r="Q206" s="11"/>
      <c r="R206" s="4"/>
    </row>
    <row r="207" spans="1:19" x14ac:dyDescent="0.3">
      <c r="A207" s="12" t="s">
        <v>2</v>
      </c>
      <c r="B207" s="11">
        <v>169</v>
      </c>
      <c r="C207" s="11">
        <v>177</v>
      </c>
      <c r="D207" s="11">
        <v>153</v>
      </c>
      <c r="E207" s="11">
        <v>101</v>
      </c>
      <c r="F207" s="11">
        <v>102</v>
      </c>
      <c r="G207" s="11">
        <v>109</v>
      </c>
      <c r="H207" s="11">
        <v>125</v>
      </c>
      <c r="I207" s="11">
        <v>110</v>
      </c>
      <c r="J207" s="11">
        <v>173</v>
      </c>
      <c r="K207" s="11">
        <v>160</v>
      </c>
      <c r="L207" s="11">
        <v>142</v>
      </c>
      <c r="M207" s="11">
        <v>135</v>
      </c>
      <c r="N207" s="11"/>
      <c r="O207" s="11"/>
      <c r="P207" s="11"/>
      <c r="Q207" s="11"/>
      <c r="R207" s="4"/>
    </row>
    <row r="208" spans="1:19" x14ac:dyDescent="0.3">
      <c r="A208" s="12" t="s">
        <v>1</v>
      </c>
      <c r="B208" s="11">
        <f>B116</f>
        <v>9705</v>
      </c>
      <c r="C208" s="11">
        <f>C116</f>
        <v>9720</v>
      </c>
      <c r="D208" s="11">
        <f>D116</f>
        <v>9738</v>
      </c>
      <c r="E208" s="11">
        <f>E116</f>
        <v>9738</v>
      </c>
      <c r="F208" s="11">
        <f>F116</f>
        <v>9746</v>
      </c>
      <c r="G208" s="11">
        <f>G116</f>
        <v>9761</v>
      </c>
      <c r="H208" s="11">
        <f>H116</f>
        <v>9775</v>
      </c>
      <c r="I208" s="11">
        <f>I116</f>
        <v>9792</v>
      </c>
      <c r="J208" s="11">
        <f>J116</f>
        <v>9799</v>
      </c>
      <c r="K208" s="11">
        <f>K116</f>
        <v>9811</v>
      </c>
      <c r="L208" s="11">
        <f>L116</f>
        <v>9825</v>
      </c>
      <c r="M208" s="11">
        <f>M116</f>
        <v>9837</v>
      </c>
      <c r="N208" s="11"/>
      <c r="O208" s="11"/>
      <c r="P208" s="11"/>
      <c r="Q208" s="11"/>
      <c r="R208" s="4"/>
      <c r="S208" s="10">
        <v>13</v>
      </c>
    </row>
    <row r="209" spans="1:18" x14ac:dyDescent="0.3">
      <c r="A209" s="9" t="s">
        <v>0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8">
        <v>0</v>
      </c>
      <c r="I209" s="8">
        <v>0</v>
      </c>
      <c r="J209" s="8">
        <v>0</v>
      </c>
      <c r="K209" s="8">
        <v>0</v>
      </c>
      <c r="L209" s="7">
        <v>0</v>
      </c>
      <c r="M209" s="6">
        <v>0</v>
      </c>
      <c r="N209" s="5"/>
      <c r="O209" s="5"/>
      <c r="P209" s="5"/>
      <c r="Q209" s="5"/>
      <c r="R209" s="4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31496062992125984" right="0.31496062992125984" top="0.94488188976377963" bottom="0.15748031496062992" header="0.31496062992125984" footer="0.15748031496062992"/>
  <pageSetup scale="30" orientation="landscape" r:id="rId1"/>
  <headerFooter>
    <oddFooter>&amp;LGILDARDO HUGO BARAJAS MARTINEZ
DIRECTOR EJECUTIVO&amp;RANGEL HUGO GAMEROS ESTRADA
DIRECTOR FINANCIERO</oddFooter>
  </headerFooter>
  <rowBreaks count="1" manualBreakCount="1">
    <brk id="107" max="17" man="1"/>
  </rowBreaks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PIGOO</vt:lpstr>
      <vt:lpstr>PIGOO!Área_de_impresión</vt:lpstr>
      <vt:lpstr>PIGOO!Títulos_a_imprimir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CONTAJMAS</dc:creator>
  <cp:lastModifiedBy>CONTAJMAS</cp:lastModifiedBy>
  <cp:lastPrinted>2023-02-03T07:46:15Z</cp:lastPrinted>
  <dcterms:created xsi:type="dcterms:W3CDTF">2023-02-03T07:43:07Z</dcterms:created>
  <dcterms:modified xsi:type="dcterms:W3CDTF">2023-02-03T07:47:52Z</dcterms:modified>
</cp:coreProperties>
</file>